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AM INFRA\Documents\CERC_2019-24\O&amp;M Expenses Data\O&amp;M Opn_Norms of NLCIL Plants filed with CERC on 29122017\"/>
    </mc:Choice>
  </mc:AlternateContent>
  <bookViews>
    <workbookView xWindow="120" yWindow="15" windowWidth="15600" windowHeight="11010" firstSheet="18" activeTab="21"/>
  </bookViews>
  <sheets>
    <sheet name="ANNEXURE I Sh 1&amp;2" sheetId="3" r:id="rId1"/>
    <sheet name="ANNEXURE I Sh 3" sheetId="1" r:id="rId2"/>
    <sheet name="ANNEXURE I Sh 4" sheetId="4" r:id="rId3"/>
    <sheet name="ANNEXURE IV" sheetId="5" r:id="rId4"/>
    <sheet name="ANNEXURE V C" sheetId="6" r:id="rId5"/>
    <sheet name="ANNEXURE VC 2009-10" sheetId="19" r:id="rId6"/>
    <sheet name="ANNEXURE VC 2010-11" sheetId="20" r:id="rId7"/>
    <sheet name="ANNEXURE VC 2011-12" sheetId="21" r:id="rId8"/>
    <sheet name="ANNEXURE VC 2012-13" sheetId="22" r:id="rId9"/>
    <sheet name="ANNEXURE VC 2013-14" sheetId="23" r:id="rId10"/>
    <sheet name="ANNEXURE VIA" sheetId="14" r:id="rId11"/>
    <sheet name="STAFF WELFARE EXPENSES" sheetId="15" r:id="rId12"/>
    <sheet name="ANNEXURE VI C" sheetId="7" r:id="rId13"/>
    <sheet name="ANNEXURE VI D" sheetId="8" r:id="rId14"/>
    <sheet name="ANNEXURE VI D DETAILS 12-13" sheetId="9" r:id="rId15"/>
    <sheet name="ANNEXURE VI D DETAILS 13-14" sheetId="10" r:id="rId16"/>
    <sheet name="ANNEXURE VI D DETAILS 14-15" sheetId="11" r:id="rId17"/>
    <sheet name="ANNEXURE VI D DETAILS 15-16" sheetId="12" r:id="rId18"/>
    <sheet name="ANNEXURE VI D DETAILS 16-17" sheetId="13" r:id="rId19"/>
    <sheet name="ANNEXURE VIII" sheetId="17" r:id="rId20"/>
    <sheet name="ANNEXURE VIII ALLOCATION" sheetId="16" r:id="rId21"/>
    <sheet name="ANNEXURE XIX" sheetId="18" r:id="rId22"/>
  </sheets>
  <externalReferences>
    <externalReference r:id="rId23"/>
    <externalReference r:id="rId24"/>
  </externalReferences>
  <definedNames>
    <definedName name="_xlnm.Print_Area" localSheetId="0">'ANNEXURE I Sh 1&amp;2'!$A$1:$H$36</definedName>
    <definedName name="_xlnm.Print_Area" localSheetId="1">'ANNEXURE I Sh 3'!$A$1:$I$63</definedName>
    <definedName name="_xlnm.Print_Area" localSheetId="2">'ANNEXURE I Sh 4'!$A$1:$H$25</definedName>
    <definedName name="_xlnm.Print_Area" localSheetId="5">'ANNEXURE VC 2009-10'!$A$2:$K$44</definedName>
    <definedName name="_xlnm.Print_Area" localSheetId="7">'ANNEXURE VC 2011-12'!$A$1:$N$29</definedName>
    <definedName name="_xlnm.Print_Area" localSheetId="8">'ANNEXURE VC 2012-13'!$A$1:$N$37</definedName>
    <definedName name="_xlnm.Print_Titles" localSheetId="1">'ANNEXURE I Sh 3'!$1:$2</definedName>
    <definedName name="_xlnm.Print_Titles" localSheetId="2">'ANNEXURE I Sh 4'!$1:$2</definedName>
    <definedName name="_xlnm.Print_Titles" localSheetId="5">'ANNEXURE VC 2009-10'!$2:$3</definedName>
    <definedName name="_xlnm.Print_Titles" localSheetId="6">'ANNEXURE VC 2010-11'!$1:$2</definedName>
  </definedNames>
  <calcPr calcId="162913"/>
</workbook>
</file>

<file path=xl/calcChain.xml><?xml version="1.0" encoding="utf-8"?>
<calcChain xmlns="http://schemas.openxmlformats.org/spreadsheetml/2006/main">
  <c r="O51" i="18" l="1"/>
  <c r="N51" i="18"/>
  <c r="M51" i="18"/>
  <c r="L51" i="18"/>
  <c r="K51" i="18"/>
  <c r="J51" i="18"/>
  <c r="I51" i="18"/>
  <c r="H51" i="18"/>
  <c r="G51" i="18"/>
  <c r="F51" i="18"/>
  <c r="E51" i="18"/>
  <c r="D51" i="18"/>
  <c r="C51" i="18"/>
  <c r="N26" i="18"/>
  <c r="M26" i="18"/>
  <c r="F26" i="18"/>
  <c r="O25" i="18"/>
  <c r="O26" i="18" s="1"/>
  <c r="N25" i="18"/>
  <c r="M25" i="18"/>
  <c r="L25" i="18"/>
  <c r="L26" i="18" s="1"/>
  <c r="K25" i="18"/>
  <c r="K26" i="18" s="1"/>
  <c r="J25" i="18"/>
  <c r="J26" i="18" s="1"/>
  <c r="I25" i="18"/>
  <c r="I26" i="18" s="1"/>
  <c r="H25" i="18"/>
  <c r="H26" i="18" s="1"/>
  <c r="G25" i="18"/>
  <c r="G26" i="18" s="1"/>
  <c r="F25" i="18"/>
  <c r="E23" i="18"/>
  <c r="E20" i="18"/>
  <c r="E25" i="18" s="1"/>
  <c r="E26" i="18" s="1"/>
  <c r="D20" i="18"/>
  <c r="D25" i="18" s="1"/>
  <c r="C20" i="18"/>
  <c r="C25" i="18" s="1"/>
  <c r="C26" i="18" s="1"/>
  <c r="D18" i="18"/>
  <c r="E16" i="18"/>
  <c r="E18" i="18" s="1"/>
  <c r="D16" i="18"/>
  <c r="C16" i="18"/>
  <c r="C18" i="18" s="1"/>
  <c r="D26" i="18" l="1"/>
  <c r="D23" i="18"/>
  <c r="K37" i="23" l="1"/>
  <c r="K36" i="23"/>
  <c r="M34" i="23"/>
  <c r="K41" i="22"/>
  <c r="M37" i="22"/>
  <c r="M36" i="22"/>
  <c r="M35" i="22"/>
  <c r="M34" i="22"/>
  <c r="M33" i="22"/>
  <c r="M32" i="22"/>
  <c r="M31" i="22"/>
  <c r="M30" i="22"/>
  <c r="K40" i="22" s="1"/>
  <c r="M29" i="22"/>
  <c r="M28" i="22"/>
  <c r="K33" i="21"/>
  <c r="M29" i="21"/>
  <c r="M28" i="21"/>
  <c r="M27" i="21"/>
  <c r="M26" i="21"/>
  <c r="M25" i="21"/>
  <c r="M24" i="21"/>
  <c r="M23" i="21"/>
  <c r="M22" i="21"/>
  <c r="M21" i="21"/>
  <c r="O18" i="21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O44" i="20" s="1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3" i="20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S26" i="19"/>
  <c r="E45" i="16"/>
  <c r="E44" i="16"/>
  <c r="E35" i="16"/>
  <c r="E36" i="16" s="1"/>
  <c r="E34" i="16"/>
  <c r="E33" i="16"/>
  <c r="L24" i="16"/>
  <c r="L23" i="16"/>
  <c r="L22" i="16"/>
  <c r="L21" i="16"/>
  <c r="L20" i="16"/>
  <c r="J15" i="16"/>
  <c r="D15" i="16"/>
  <c r="D23" i="16" s="1"/>
  <c r="O13" i="16"/>
  <c r="K13" i="16"/>
  <c r="E13" i="16"/>
  <c r="K9" i="16"/>
  <c r="J9" i="16"/>
  <c r="I9" i="16"/>
  <c r="H9" i="16"/>
  <c r="G9" i="16"/>
  <c r="F9" i="16"/>
  <c r="E9" i="16"/>
  <c r="D9" i="16"/>
  <c r="C9" i="16"/>
  <c r="M8" i="16"/>
  <c r="L8" i="16"/>
  <c r="L16" i="16" s="1"/>
  <c r="L7" i="16"/>
  <c r="I15" i="16" s="1"/>
  <c r="M6" i="16"/>
  <c r="L6" i="16"/>
  <c r="L14" i="16" s="1"/>
  <c r="L5" i="16"/>
  <c r="J13" i="16" s="1"/>
  <c r="M4" i="16"/>
  <c r="L4" i="16"/>
  <c r="I12" i="16" s="1"/>
  <c r="H49" i="17"/>
  <c r="G49" i="17"/>
  <c r="F49" i="17"/>
  <c r="E49" i="17"/>
  <c r="D49" i="17"/>
  <c r="H44" i="17"/>
  <c r="G44" i="17"/>
  <c r="F44" i="17"/>
  <c r="E44" i="17"/>
  <c r="D44" i="17"/>
  <c r="D15" i="17"/>
  <c r="D30" i="17"/>
  <c r="H34" i="17"/>
  <c r="G32" i="17"/>
  <c r="G11" i="17"/>
  <c r="E34" i="17"/>
  <c r="D39" i="17"/>
  <c r="F20" i="17"/>
  <c r="D28" i="17"/>
  <c r="G13" i="17"/>
  <c r="D37" i="17"/>
  <c r="H18" i="17"/>
  <c r="H37" i="17"/>
  <c r="H29" i="17"/>
  <c r="E31" i="17"/>
  <c r="D29" i="17"/>
  <c r="F11" i="17"/>
  <c r="F31" i="17"/>
  <c r="D11" i="17"/>
  <c r="D21" i="17"/>
  <c r="G25" i="17"/>
  <c r="E19" i="17"/>
  <c r="H36" i="17"/>
  <c r="F33" i="17"/>
  <c r="D13" i="17"/>
  <c r="E36" i="17"/>
  <c r="E20" i="17"/>
  <c r="G37" i="17"/>
  <c r="H32" i="17"/>
  <c r="F37" i="17"/>
  <c r="D19" i="17"/>
  <c r="D36" i="17"/>
  <c r="E18" i="17"/>
  <c r="H20" i="17"/>
  <c r="H12" i="17"/>
  <c r="H10" i="17"/>
  <c r="G15" i="17"/>
  <c r="G31" i="17"/>
  <c r="D35" i="17"/>
  <c r="E12" i="17"/>
  <c r="H33" i="17"/>
  <c r="F35" i="17"/>
  <c r="E30" i="17"/>
  <c r="F30" i="17"/>
  <c r="G19" i="17"/>
  <c r="G12" i="17"/>
  <c r="G33" i="17"/>
  <c r="E32" i="17"/>
  <c r="F21" i="17"/>
  <c r="F29" i="17"/>
  <c r="H25" i="17"/>
  <c r="G29" i="17"/>
  <c r="H30" i="17"/>
  <c r="D31" i="17"/>
  <c r="E11" i="17"/>
  <c r="G36" i="17"/>
  <c r="H28" i="17"/>
  <c r="D20" i="17"/>
  <c r="E33" i="17"/>
  <c r="F12" i="17"/>
  <c r="H35" i="17"/>
  <c r="D18" i="17"/>
  <c r="H13" i="17"/>
  <c r="G28" i="17"/>
  <c r="F36" i="17"/>
  <c r="E28" i="17"/>
  <c r="H39" i="17"/>
  <c r="E21" i="17"/>
  <c r="F28" i="17"/>
  <c r="G20" i="17"/>
  <c r="D33" i="17"/>
  <c r="F34" i="17"/>
  <c r="F39" i="17"/>
  <c r="G18" i="17"/>
  <c r="F19" i="17"/>
  <c r="E29" i="17"/>
  <c r="D12" i="17"/>
  <c r="H21" i="17"/>
  <c r="D10" i="17"/>
  <c r="H11" i="17"/>
  <c r="H15" i="17"/>
  <c r="E35" i="17"/>
  <c r="E10" i="17"/>
  <c r="D34" i="17"/>
  <c r="H31" i="17"/>
  <c r="G34" i="17"/>
  <c r="G30" i="17"/>
  <c r="G35" i="17"/>
  <c r="F15" i="17"/>
  <c r="F32" i="17"/>
  <c r="G39" i="17"/>
  <c r="G10" i="17"/>
  <c r="D32" i="17"/>
  <c r="F18" i="17"/>
  <c r="E15" i="17"/>
  <c r="E39" i="17"/>
  <c r="G21" i="17"/>
  <c r="F10" i="17"/>
  <c r="H19" i="17"/>
  <c r="E37" i="17"/>
  <c r="I23" i="16" l="1"/>
  <c r="G13" i="16"/>
  <c r="L13" i="16"/>
  <c r="F15" i="16"/>
  <c r="K15" i="16"/>
  <c r="K23" i="16" s="1"/>
  <c r="J46" i="19"/>
  <c r="M5" i="16"/>
  <c r="M7" i="16"/>
  <c r="M23" i="16" s="1"/>
  <c r="C13" i="16"/>
  <c r="H13" i="16"/>
  <c r="H21" i="16" s="1"/>
  <c r="G15" i="16"/>
  <c r="G23" i="16" s="1"/>
  <c r="L15" i="16"/>
  <c r="F23" i="16"/>
  <c r="E46" i="16"/>
  <c r="E47" i="16" s="1"/>
  <c r="M59" i="20"/>
  <c r="O36" i="20"/>
  <c r="O26" i="21"/>
  <c r="D13" i="16"/>
  <c r="D21" i="16" s="1"/>
  <c r="I13" i="16"/>
  <c r="I21" i="16" s="1"/>
  <c r="C15" i="16"/>
  <c r="H15" i="16"/>
  <c r="H23" i="16" s="1"/>
  <c r="J23" i="16"/>
  <c r="O29" i="20"/>
  <c r="O59" i="20" s="1"/>
  <c r="O49" i="20"/>
  <c r="O30" i="21"/>
  <c r="K42" i="22"/>
  <c r="K32" i="21"/>
  <c r="K61" i="20"/>
  <c r="J48" i="19"/>
  <c r="M24" i="16"/>
  <c r="J21" i="16"/>
  <c r="D12" i="16"/>
  <c r="D20" i="16" s="1"/>
  <c r="H12" i="16"/>
  <c r="H20" i="16" s="1"/>
  <c r="L12" i="16"/>
  <c r="F13" i="16"/>
  <c r="F21" i="16" s="1"/>
  <c r="C14" i="16"/>
  <c r="G14" i="16"/>
  <c r="K14" i="16"/>
  <c r="K22" i="16" s="1"/>
  <c r="E15" i="16"/>
  <c r="E23" i="16" s="1"/>
  <c r="C16" i="16"/>
  <c r="C24" i="16" s="1"/>
  <c r="G16" i="16"/>
  <c r="G24" i="16" s="1"/>
  <c r="K16" i="16"/>
  <c r="K24" i="16" s="1"/>
  <c r="I20" i="16"/>
  <c r="M20" i="16"/>
  <c r="N20" i="16" s="1"/>
  <c r="E21" i="16"/>
  <c r="M21" i="16"/>
  <c r="C23" i="16"/>
  <c r="C12" i="16"/>
  <c r="C20" i="16" s="1"/>
  <c r="G12" i="16"/>
  <c r="G20" i="16" s="1"/>
  <c r="K12" i="16"/>
  <c r="F14" i="16"/>
  <c r="F22" i="16" s="1"/>
  <c r="J14" i="16"/>
  <c r="J22" i="16" s="1"/>
  <c r="F16" i="16"/>
  <c r="F24" i="16" s="1"/>
  <c r="J16" i="16"/>
  <c r="J24" i="16" s="1"/>
  <c r="M22" i="16"/>
  <c r="L25" i="16"/>
  <c r="F12" i="16"/>
  <c r="F20" i="16" s="1"/>
  <c r="J12" i="16"/>
  <c r="J20" i="16" s="1"/>
  <c r="E14" i="16"/>
  <c r="E22" i="16" s="1"/>
  <c r="I14" i="16"/>
  <c r="I22" i="16" s="1"/>
  <c r="E16" i="16"/>
  <c r="E24" i="16" s="1"/>
  <c r="I16" i="16"/>
  <c r="I24" i="16" s="1"/>
  <c r="K20" i="16"/>
  <c r="C21" i="16"/>
  <c r="G21" i="16"/>
  <c r="K21" i="16"/>
  <c r="L9" i="16"/>
  <c r="M9" i="16" s="1"/>
  <c r="E12" i="16"/>
  <c r="E20" i="16" s="1"/>
  <c r="D14" i="16"/>
  <c r="D22" i="16" s="1"/>
  <c r="H14" i="16"/>
  <c r="H22" i="16" s="1"/>
  <c r="D16" i="16"/>
  <c r="D24" i="16" s="1"/>
  <c r="H16" i="16"/>
  <c r="H24" i="16" s="1"/>
  <c r="C22" i="16"/>
  <c r="G22" i="16"/>
  <c r="E16" i="17"/>
  <c r="E23" i="17"/>
  <c r="D16" i="17"/>
  <c r="H16" i="17"/>
  <c r="D23" i="17"/>
  <c r="H23" i="17"/>
  <c r="G16" i="17"/>
  <c r="G23" i="17"/>
  <c r="F16" i="17"/>
  <c r="F23" i="17"/>
  <c r="E25" i="16" l="1"/>
  <c r="F25" i="16"/>
  <c r="G25" i="16"/>
  <c r="G38" i="17"/>
  <c r="G40" i="17" s="1"/>
  <c r="D38" i="17"/>
  <c r="D40" i="17" s="1"/>
  <c r="J25" i="16"/>
  <c r="K25" i="16"/>
  <c r="C25" i="16"/>
  <c r="I25" i="16"/>
  <c r="D25" i="16"/>
  <c r="M25" i="16"/>
  <c r="H25" i="16"/>
  <c r="H38" i="17"/>
  <c r="H40" i="17" s="1"/>
  <c r="F38" i="17"/>
  <c r="F40" i="17" s="1"/>
  <c r="E38" i="17"/>
  <c r="E40" i="17" s="1"/>
  <c r="F16" i="15" l="1"/>
  <c r="F18" i="15" s="1"/>
  <c r="E16" i="15"/>
  <c r="E18" i="15" s="1"/>
  <c r="D16" i="15"/>
  <c r="D18" i="15" s="1"/>
  <c r="C16" i="15"/>
  <c r="C18" i="15" s="1"/>
  <c r="B16" i="15"/>
  <c r="B18" i="15" s="1"/>
  <c r="J76" i="14"/>
  <c r="L75" i="14"/>
  <c r="L76" i="14" s="1"/>
  <c r="K75" i="14"/>
  <c r="K76" i="14" s="1"/>
  <c r="J75" i="14"/>
  <c r="I75" i="14"/>
  <c r="I76" i="14" s="1"/>
  <c r="H75" i="14"/>
  <c r="H76" i="14" s="1"/>
  <c r="L65" i="14"/>
  <c r="K65" i="14"/>
  <c r="J65" i="14"/>
  <c r="I65" i="14"/>
  <c r="H65" i="14"/>
  <c r="L59" i="14"/>
  <c r="L66" i="14" s="1"/>
  <c r="K59" i="14"/>
  <c r="K66" i="14" s="1"/>
  <c r="J59" i="14"/>
  <c r="I59" i="14"/>
  <c r="I66" i="14" s="1"/>
  <c r="H59" i="14"/>
  <c r="H66" i="14" s="1"/>
  <c r="L42" i="14"/>
  <c r="K42" i="14"/>
  <c r="J42" i="14"/>
  <c r="I42" i="14"/>
  <c r="H42" i="14"/>
  <c r="F42" i="14"/>
  <c r="N40" i="14"/>
  <c r="L40" i="14"/>
  <c r="K40" i="14"/>
  <c r="J40" i="14"/>
  <c r="I40" i="14"/>
  <c r="H40" i="14"/>
  <c r="L39" i="14"/>
  <c r="K39" i="14"/>
  <c r="J39" i="14"/>
  <c r="I39" i="14"/>
  <c r="H39" i="14"/>
  <c r="F39" i="14"/>
  <c r="F37" i="14"/>
  <c r="L35" i="14"/>
  <c r="I35" i="14"/>
  <c r="F35" i="14"/>
  <c r="F34" i="14"/>
  <c r="F33" i="14"/>
  <c r="F32" i="14"/>
  <c r="F31" i="14"/>
  <c r="H30" i="14"/>
  <c r="H35" i="14" s="1"/>
  <c r="F30" i="14"/>
  <c r="K29" i="14"/>
  <c r="K35" i="14" s="1"/>
  <c r="J29" i="14"/>
  <c r="J35" i="14" s="1"/>
  <c r="F29" i="14"/>
  <c r="F28" i="14"/>
  <c r="K27" i="14"/>
  <c r="J27" i="14"/>
  <c r="I27" i="14"/>
  <c r="H27" i="14"/>
  <c r="F27" i="14"/>
  <c r="F26" i="14"/>
  <c r="L25" i="14"/>
  <c r="F25" i="14"/>
  <c r="F24" i="14"/>
  <c r="F23" i="14"/>
  <c r="F22" i="14"/>
  <c r="L21" i="14"/>
  <c r="F21" i="14"/>
  <c r="F20" i="14"/>
  <c r="F19" i="14"/>
  <c r="F18" i="14"/>
  <c r="F17" i="14"/>
  <c r="L16" i="14"/>
  <c r="K16" i="14"/>
  <c r="J16" i="14"/>
  <c r="I16" i="14"/>
  <c r="H16" i="14"/>
  <c r="F16" i="14"/>
  <c r="L15" i="14"/>
  <c r="K15" i="14"/>
  <c r="J15" i="14"/>
  <c r="I15" i="14"/>
  <c r="H15" i="14"/>
  <c r="F13" i="14"/>
  <c r="L12" i="14"/>
  <c r="K12" i="14"/>
  <c r="J12" i="14"/>
  <c r="I12" i="14"/>
  <c r="H12" i="14"/>
  <c r="G12" i="14"/>
  <c r="F12" i="14"/>
  <c r="L11" i="14"/>
  <c r="K11" i="14"/>
  <c r="J11" i="14"/>
  <c r="I11" i="14"/>
  <c r="H11" i="14"/>
  <c r="H41" i="14" s="1"/>
  <c r="H43" i="14" s="1"/>
  <c r="H57" i="14" s="1"/>
  <c r="F11" i="14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75" i="12" l="1"/>
  <c r="I41" i="14"/>
  <c r="I43" i="14" s="1"/>
  <c r="I57" i="14" s="1"/>
  <c r="L27" i="14"/>
  <c r="N13" i="14" s="1"/>
  <c r="I68" i="14"/>
  <c r="F58" i="9"/>
  <c r="F75" i="11"/>
  <c r="J66" i="14"/>
  <c r="J68" i="14" s="1"/>
  <c r="K68" i="14"/>
  <c r="J41" i="14"/>
  <c r="J43" i="14" s="1"/>
  <c r="J57" i="14" s="1"/>
  <c r="H68" i="14"/>
  <c r="L68" i="14"/>
  <c r="L41" i="14"/>
  <c r="L43" i="14" s="1"/>
  <c r="L57" i="14" s="1"/>
  <c r="K41" i="14"/>
  <c r="K43" i="14" s="1"/>
  <c r="K57" i="14" s="1"/>
  <c r="H13" i="6"/>
  <c r="L13" i="6" s="1"/>
  <c r="L12" i="6"/>
  <c r="H12" i="6"/>
  <c r="H11" i="6"/>
  <c r="L11" i="6" s="1"/>
  <c r="H10" i="6"/>
  <c r="L10" i="6" s="1"/>
  <c r="H9" i="6"/>
  <c r="L9" i="6" s="1"/>
  <c r="E24" i="3"/>
  <c r="F24" i="3"/>
  <c r="G24" i="3"/>
  <c r="H24" i="3"/>
  <c r="D24" i="3"/>
  <c r="H21" i="4"/>
  <c r="G21" i="4"/>
  <c r="F21" i="4"/>
  <c r="E21" i="4"/>
  <c r="D21" i="4"/>
  <c r="H9" i="1" l="1"/>
  <c r="I9" i="1"/>
  <c r="G26" i="3"/>
  <c r="F26" i="3"/>
  <c r="E26" i="3"/>
  <c r="H26" i="3"/>
  <c r="D26" i="3"/>
  <c r="H13" i="3"/>
  <c r="I7" i="1" l="1"/>
  <c r="H7" i="1"/>
  <c r="G7" i="1" l="1"/>
  <c r="E7" i="1" l="1"/>
  <c r="F7" i="1"/>
</calcChain>
</file>

<file path=xl/comments1.xml><?xml version="1.0" encoding="utf-8"?>
<comments xmlns="http://schemas.openxmlformats.org/spreadsheetml/2006/main">
  <authors>
    <author>46574</author>
  </authors>
  <commentList>
    <comment ref="E79" authorId="0" shapeId="0">
      <text>
        <r>
          <rPr>
            <b/>
            <sz val="9"/>
            <color indexed="81"/>
            <rFont val="Tahoma"/>
            <family val="2"/>
          </rPr>
          <t>46574:</t>
        </r>
        <r>
          <rPr>
            <sz val="9"/>
            <color indexed="81"/>
            <rFont val="Tahoma"/>
            <family val="2"/>
          </rPr>
          <t xml:space="preserve">
GL-3410/11,3510/11,3610/11,3710/11,3810/11,3910/11</t>
        </r>
      </text>
    </comment>
  </commentList>
</comments>
</file>

<file path=xl/sharedStrings.xml><?xml version="1.0" encoding="utf-8"?>
<sst xmlns="http://schemas.openxmlformats.org/spreadsheetml/2006/main" count="2014" uniqueCount="997">
  <si>
    <t>Pro-forma   for   furnishing   Actual   annual   performance/operational   data   for   the coal/lignite based thermal generating stations for the 5-year period from 2012-13 to 2016-17</t>
  </si>
  <si>
    <t>NLC India Limited</t>
  </si>
  <si>
    <t>Lignite</t>
  </si>
  <si>
    <t>Electrical Driven</t>
  </si>
  <si>
    <t>Closed Cycle</t>
  </si>
  <si>
    <t>NA</t>
  </si>
  <si>
    <t>3.5 KM</t>
  </si>
  <si>
    <t>Mode of Transport (Rail/Road/Sea/Conveyor/MGR/Ropeway)</t>
  </si>
  <si>
    <t>Conveyor</t>
  </si>
  <si>
    <t>Furnance Oil &amp; Light Diesel Oil</t>
  </si>
  <si>
    <t>HFO: 4000
LDO: 100</t>
  </si>
  <si>
    <t>MT</t>
  </si>
  <si>
    <t>----</t>
  </si>
  <si>
    <t>---</t>
  </si>
  <si>
    <t>Domestic coal (Lignite)</t>
  </si>
  <si>
    <t>Actual Average Coal (Lignite) stock maintained</t>
  </si>
  <si>
    <t>15.1.1</t>
  </si>
  <si>
    <t>15.1.2</t>
  </si>
  <si>
    <t>Light Diesel Oil (LDO)</t>
  </si>
  <si>
    <t>Heavy Furnace Oil (HFO)</t>
  </si>
  <si>
    <t>KL</t>
  </si>
  <si>
    <t>15.4.1</t>
  </si>
  <si>
    <t>15.4.2</t>
  </si>
  <si>
    <t>150 mg/Nm3</t>
  </si>
  <si>
    <t>Nox</t>
  </si>
  <si>
    <t>Sox</t>
  </si>
  <si>
    <t>Other Prticulate emission</t>
  </si>
  <si>
    <t>Imported Coal</t>
  </si>
  <si>
    <t>Maximum stock maintained for primary fuel</t>
  </si>
  <si>
    <t>230 KM</t>
  </si>
  <si>
    <t>From Mine-I, NLC India Limited</t>
  </si>
  <si>
    <t>By Road</t>
  </si>
  <si>
    <t>Accts</t>
  </si>
  <si>
    <t>15.3.1</t>
  </si>
  <si>
    <t>15.3.2</t>
  </si>
  <si>
    <t>Average for each year</t>
  </si>
  <si>
    <t>#</t>
  </si>
  <si>
    <t>Cost    of    spares    actually consumed includes the cost of consumables also.</t>
  </si>
  <si>
    <t>HFO: 1805
LDO: 56</t>
  </si>
  <si>
    <t>HFO: 1560
LDO: 86</t>
  </si>
  <si>
    <t>HFO: 2460
LDO: 77</t>
  </si>
  <si>
    <t>HFO: 365
LDO: 22</t>
  </si>
  <si>
    <t>HFO: 921
LDO: 48</t>
  </si>
  <si>
    <t>HFO: 346
LDO: 68</t>
  </si>
  <si>
    <t>HFO: 349
LDO: 38</t>
  </si>
  <si>
    <t>HFO: 417
LDO: 61</t>
  </si>
  <si>
    <t>HFO: 1218
LDO: 44</t>
  </si>
  <si>
    <t>HFO: 734
LDO: 73</t>
  </si>
  <si>
    <t>HFO: 778
LDO: 64</t>
  </si>
  <si>
    <t>HFO: 1543
LDO: 73</t>
  </si>
  <si>
    <t>M/s. BPCL &amp; M/s. HPCL, Chennai</t>
  </si>
  <si>
    <t>Remarks</t>
  </si>
  <si>
    <t>(@ 72 % PLF)</t>
  </si>
  <si>
    <t>AAP Target 3784 MU
Lig req @1.44 T/Kwhr for 2012-13 &amp; 13-14 and 1.46 T/Kwhr for 2015-16 to 2016-17</t>
  </si>
  <si>
    <t>Max, Min &amp; Avg for sp year for 2013-14 to 2015-16 and includes stockyard for 2016-17</t>
  </si>
  <si>
    <t>3.5 ml/kwhr for 2012-13 &amp; 2013-14 and 1.5 ml/kwhr for 2014-15 onwards for the AAP target of 3784 MU.</t>
  </si>
  <si>
    <t>Max, Min &amp; Avg for speific year</t>
  </si>
  <si>
    <t>Hot start&lt;10 hrs
Warm Start-10 to 72 hrs
Cold start&gt;72 hrs</t>
  </si>
  <si>
    <t xml:space="preserve">15
</t>
  </si>
  <si>
    <t>mg/Nm3</t>
  </si>
  <si>
    <t>2015-16</t>
  </si>
  <si>
    <t>2016-17</t>
  </si>
  <si>
    <t>Themal Power Station - I/Pit Head Power station</t>
  </si>
  <si>
    <t>Installed Capacity: 600 MW
Configuration: 6 Unis of 50 MW each and 3 Units of 100 MW each</t>
  </si>
  <si>
    <t>Pit head Power station with water requirement met by Mine itself.</t>
  </si>
  <si>
    <r>
      <rPr>
        <b/>
        <u/>
        <sz val="11"/>
        <rFont val="Times New Roman"/>
        <family val="1"/>
      </rPr>
      <t>Annexure –I</t>
    </r>
  </si>
  <si>
    <r>
      <rPr>
        <b/>
        <sz val="11"/>
        <rFont val="Times New Roman"/>
        <family val="1"/>
      </rPr>
      <t>Particulars</t>
    </r>
  </si>
  <si>
    <r>
      <rPr>
        <b/>
        <sz val="11"/>
        <rFont val="Times New Roman"/>
        <family val="1"/>
      </rPr>
      <t>Units</t>
    </r>
  </si>
  <si>
    <r>
      <rPr>
        <b/>
        <sz val="11"/>
        <rFont val="Times New Roman"/>
        <family val="1"/>
      </rPr>
      <t>2012-13</t>
    </r>
  </si>
  <si>
    <r>
      <rPr>
        <b/>
        <sz val="11"/>
        <rFont val="Times New Roman"/>
        <family val="1"/>
      </rPr>
      <t>2013-14</t>
    </r>
  </si>
  <si>
    <r>
      <rPr>
        <b/>
        <sz val="11"/>
        <rFont val="Times New Roman"/>
        <family val="1"/>
      </rPr>
      <t>2014-15</t>
    </r>
  </si>
  <si>
    <r>
      <rPr>
        <b/>
        <sz val="11"/>
        <rFont val="Times New Roman"/>
        <family val="1"/>
      </rPr>
      <t>2015-16</t>
    </r>
  </si>
  <si>
    <r>
      <rPr>
        <b/>
        <sz val="11"/>
        <rFont val="Times New Roman"/>
        <family val="1"/>
      </rPr>
      <t>2016-17</t>
    </r>
  </si>
  <si>
    <r>
      <rPr>
        <sz val="11"/>
        <rFont val="Times New Roman"/>
        <family val="1"/>
      </rPr>
      <t>Name of Company</t>
    </r>
  </si>
  <si>
    <r>
      <rPr>
        <sz val="11"/>
        <rFont val="Times New Roman"/>
        <family val="1"/>
      </rPr>
      <t>Installed Capacity and Configuration</t>
    </r>
  </si>
  <si>
    <r>
      <rPr>
        <sz val="11"/>
        <rFont val="Times New Roman"/>
        <family val="1"/>
      </rPr>
      <t>MW</t>
    </r>
  </si>
  <si>
    <r>
      <rPr>
        <sz val="11"/>
        <rFont val="Times New Roman"/>
        <family val="1"/>
      </rPr>
      <t>Rated    Steam    Parameters (Also state the type of Steam turbine and Boiler)</t>
    </r>
  </si>
  <si>
    <r>
      <rPr>
        <sz val="11"/>
        <rFont val="Times New Roman"/>
        <family val="1"/>
      </rPr>
      <t>Type of BFP</t>
    </r>
  </si>
  <si>
    <r>
      <rPr>
        <sz val="11"/>
        <rFont val="Times New Roman"/>
        <family val="1"/>
      </rPr>
      <t>Circulating water system</t>
    </r>
  </si>
  <si>
    <r>
      <rPr>
        <sz val="11"/>
        <rFont val="Times New Roman"/>
        <family val="1"/>
      </rPr>
      <t>Any other Site specific feature</t>
    </r>
  </si>
  <si>
    <r>
      <rPr>
        <b/>
        <sz val="11"/>
        <rFont val="Times New Roman"/>
        <family val="1"/>
      </rPr>
      <t>Fuels :</t>
    </r>
  </si>
  <si>
    <r>
      <rPr>
        <b/>
        <sz val="11"/>
        <rFont val="Times New Roman"/>
        <family val="1"/>
      </rPr>
      <t>Primary Fuel :</t>
    </r>
  </si>
  <si>
    <r>
      <rPr>
        <sz val="11"/>
        <rFont val="Times New Roman"/>
        <family val="1"/>
      </rPr>
      <t>8.1.1</t>
    </r>
  </si>
  <si>
    <r>
      <rPr>
        <sz val="11"/>
        <rFont val="Times New Roman"/>
        <family val="1"/>
      </rPr>
      <t>Annual  Allocation or/andRequirement</t>
    </r>
  </si>
  <si>
    <r>
      <rPr>
        <sz val="11"/>
        <rFont val="Times New Roman"/>
        <family val="1"/>
      </rPr>
      <t>MT</t>
    </r>
  </si>
  <si>
    <r>
      <rPr>
        <sz val="11"/>
        <rFont val="Times New Roman"/>
        <family val="1"/>
      </rPr>
      <t>8.1.2</t>
    </r>
  </si>
  <si>
    <r>
      <rPr>
        <sz val="11"/>
        <rFont val="Times New Roman"/>
        <family val="1"/>
      </rPr>
      <t>Sources   of   supply/   procurement
along  with  contracted  quantity  and grade of coal</t>
    </r>
  </si>
  <si>
    <r>
      <rPr>
        <sz val="11"/>
        <rFont val="Times New Roman"/>
        <family val="1"/>
      </rPr>
      <t>FSA</t>
    </r>
  </si>
  <si>
    <r>
      <rPr>
        <sz val="11"/>
        <rFont val="Times New Roman"/>
        <family val="1"/>
      </rPr>
      <t>Imported</t>
    </r>
  </si>
  <si>
    <r>
      <rPr>
        <sz val="11"/>
        <rFont val="Times New Roman"/>
        <family val="1"/>
      </rPr>
      <t>Spot Market/e-auction</t>
    </r>
  </si>
  <si>
    <r>
      <rPr>
        <sz val="11"/>
        <rFont val="Times New Roman"/>
        <family val="1"/>
      </rPr>
      <t>8.1.3</t>
    </r>
  </si>
  <si>
    <r>
      <rPr>
        <sz val="11"/>
        <rFont val="Times New Roman"/>
        <family val="1"/>
      </rPr>
      <t>km</t>
    </r>
  </si>
  <si>
    <r>
      <rPr>
        <sz val="11"/>
        <rFont val="Times New Roman"/>
        <family val="1"/>
      </rPr>
      <t>8.1.4</t>
    </r>
  </si>
  <si>
    <r>
      <rPr>
        <sz val="11"/>
        <rFont val="Times New Roman"/>
        <family val="1"/>
      </rPr>
      <t>8.1.5</t>
    </r>
  </si>
  <si>
    <r>
      <rPr>
        <sz val="11"/>
        <rFont val="Times New Roman"/>
        <family val="1"/>
      </rPr>
      <t>Maximum Station capability to stock primary fuel</t>
    </r>
  </si>
  <si>
    <r>
      <rPr>
        <sz val="11"/>
        <rFont val="Times New Roman"/>
        <family val="1"/>
      </rPr>
      <t>8.1.6</t>
    </r>
  </si>
  <si>
    <r>
      <rPr>
        <sz val="11"/>
        <rFont val="Times New Roman"/>
        <family val="1"/>
      </rPr>
      <t>8.1.7</t>
    </r>
  </si>
  <si>
    <r>
      <rPr>
        <sz val="11"/>
        <rFont val="Times New Roman"/>
        <family val="1"/>
      </rPr>
      <t>Minimum Stock maintained for primary fuel</t>
    </r>
  </si>
  <si>
    <r>
      <rPr>
        <sz val="11"/>
        <rFont val="Times New Roman"/>
        <family val="1"/>
      </rPr>
      <t>8.1.8</t>
    </r>
  </si>
  <si>
    <r>
      <rPr>
        <sz val="11"/>
        <rFont val="Times New Roman"/>
        <family val="1"/>
      </rPr>
      <t>Average stock maintained for primary fuel</t>
    </r>
  </si>
  <si>
    <r>
      <rPr>
        <b/>
        <sz val="11"/>
        <rFont val="Times New Roman"/>
        <family val="1"/>
      </rPr>
      <t>Secondary Fuel :</t>
    </r>
  </si>
  <si>
    <r>
      <rPr>
        <sz val="11"/>
        <rFont val="Times New Roman"/>
        <family val="1"/>
      </rPr>
      <t>8.2.1</t>
    </r>
  </si>
  <si>
    <r>
      <rPr>
        <sz val="11"/>
        <rFont val="Times New Roman"/>
        <family val="1"/>
      </rPr>
      <t>8.2.2</t>
    </r>
  </si>
  <si>
    <r>
      <rPr>
        <sz val="11"/>
        <rFont val="Times New Roman"/>
        <family val="1"/>
      </rPr>
      <t>Sources of supply</t>
    </r>
  </si>
  <si>
    <r>
      <rPr>
        <sz val="11"/>
        <rFont val="Times New Roman"/>
        <family val="1"/>
      </rPr>
      <t>8.2.3</t>
    </r>
  </si>
  <si>
    <r>
      <rPr>
        <sz val="11"/>
        <rFont val="Times New Roman"/>
        <family val="1"/>
      </rPr>
      <t>8.2.4</t>
    </r>
  </si>
  <si>
    <r>
      <rPr>
        <sz val="11"/>
        <rFont val="Times New Roman"/>
        <family val="1"/>
      </rPr>
      <t>8.2.5</t>
    </r>
  </si>
  <si>
    <r>
      <rPr>
        <sz val="11"/>
        <rFont val="Times New Roman"/>
        <family val="1"/>
      </rPr>
      <t>Maximum Station capability to stock
secondary fuels</t>
    </r>
  </si>
  <si>
    <r>
      <rPr>
        <sz val="11"/>
        <rFont val="Times New Roman"/>
        <family val="1"/>
      </rPr>
      <t>Klit.</t>
    </r>
  </si>
  <si>
    <r>
      <rPr>
        <sz val="11"/>
        <rFont val="Times New Roman"/>
        <family val="1"/>
      </rPr>
      <t>8.2.6</t>
    </r>
  </si>
  <si>
    <r>
      <rPr>
        <sz val="11"/>
        <rFont val="Times New Roman"/>
        <family val="1"/>
      </rPr>
      <t>Maximum Stock of secondary oil actually maintained</t>
    </r>
  </si>
  <si>
    <r>
      <rPr>
        <sz val="11"/>
        <rFont val="Times New Roman"/>
        <family val="1"/>
      </rPr>
      <t>K.lit.</t>
    </r>
  </si>
  <si>
    <r>
      <rPr>
        <sz val="11"/>
        <rFont val="Times New Roman"/>
        <family val="1"/>
      </rPr>
      <t>8.2.7</t>
    </r>
  </si>
  <si>
    <r>
      <rPr>
        <sz val="11"/>
        <rFont val="Times New Roman"/>
        <family val="1"/>
      </rPr>
      <t>Minimum Stock of secondary oil actually maintained</t>
    </r>
  </si>
  <si>
    <r>
      <rPr>
        <sz val="11"/>
        <rFont val="Times New Roman"/>
        <family val="1"/>
      </rPr>
      <t>8.2.8</t>
    </r>
  </si>
  <si>
    <r>
      <rPr>
        <sz val="11"/>
        <rFont val="Times New Roman"/>
        <family val="1"/>
      </rPr>
      <t>Average Stock of secondary oil actually maintained</t>
    </r>
  </si>
  <si>
    <r>
      <rPr>
        <sz val="11"/>
        <rFont val="Times New Roman"/>
        <family val="1"/>
      </rPr>
      <t>Cost of Spares :</t>
    </r>
  </si>
  <si>
    <r>
      <rPr>
        <sz val="11"/>
        <rFont val="Times New Roman"/>
        <family val="1"/>
      </rPr>
      <t>Cost of Spares capitalized in the books of accounts</t>
    </r>
  </si>
  <si>
    <r>
      <rPr>
        <sz val="11"/>
        <rFont val="Times New Roman"/>
        <family val="1"/>
      </rPr>
      <t>(Rs. Lakh)</t>
    </r>
  </si>
  <si>
    <r>
      <rPr>
        <sz val="11"/>
        <rFont val="Times New Roman"/>
        <family val="1"/>
      </rPr>
      <t>Cost of  spares included in capital cost for the purpose of tariff</t>
    </r>
  </si>
  <si>
    <r>
      <rPr>
        <b/>
        <sz val="11"/>
        <rFont val="Times New Roman"/>
        <family val="1"/>
      </rPr>
      <t>Generation :</t>
    </r>
  </si>
  <si>
    <r>
      <rPr>
        <sz val="11"/>
        <rFont val="Times New Roman"/>
        <family val="1"/>
      </rPr>
      <t>-Actual  Gross  Generation  at generator terminals</t>
    </r>
  </si>
  <si>
    <r>
      <rPr>
        <sz val="11"/>
        <rFont val="Times New Roman"/>
        <family val="1"/>
      </rPr>
      <t>MU</t>
    </r>
  </si>
  <si>
    <r>
      <rPr>
        <sz val="11"/>
        <rFont val="Times New Roman"/>
        <family val="1"/>
      </rPr>
      <t>-Actual Net Generation Ex-bus</t>
    </r>
  </si>
  <si>
    <r>
      <rPr>
        <sz val="11"/>
        <rFont val="Times New Roman"/>
        <family val="1"/>
      </rPr>
      <t>-Scheduled Generation Ex-bus</t>
    </r>
  </si>
  <si>
    <r>
      <rPr>
        <sz val="11"/>
        <rFont val="Times New Roman"/>
        <family val="1"/>
      </rPr>
      <t>Average Declared Capacity (DC)</t>
    </r>
  </si>
  <si>
    <r>
      <rPr>
        <sz val="11"/>
        <rFont val="Times New Roman"/>
        <family val="1"/>
      </rPr>
      <t>Actual Auxiliary Energy Consumption excluding colony consumption</t>
    </r>
  </si>
  <si>
    <r>
      <rPr>
        <sz val="11"/>
        <rFont val="Times New Roman"/>
        <family val="1"/>
      </rPr>
      <t xml:space="preserve">Consumption </t>
    </r>
    <r>
      <rPr>
        <b/>
        <sz val="11"/>
        <rFont val="Times New Roman"/>
        <family val="1"/>
      </rPr>
      <t>:</t>
    </r>
  </si>
  <si>
    <r>
      <rPr>
        <sz val="11"/>
        <rFont val="Times New Roman"/>
        <family val="1"/>
      </rPr>
      <t>From linked mines</t>
    </r>
  </si>
  <si>
    <r>
      <rPr>
        <sz val="11"/>
        <rFont val="Times New Roman"/>
        <family val="1"/>
      </rPr>
      <t>Non-linked mines</t>
    </r>
  </si>
  <si>
    <r>
      <rPr>
        <sz val="11"/>
        <rFont val="Times New Roman"/>
        <family val="1"/>
      </rPr>
      <t>Imported coal</t>
    </r>
    <r>
      <rPr>
        <b/>
        <sz val="11"/>
        <rFont val="Times New Roman"/>
        <family val="1"/>
      </rPr>
      <t>*</t>
    </r>
  </si>
  <si>
    <r>
      <rPr>
        <sz val="11"/>
        <rFont val="Times New Roman"/>
        <family val="1"/>
      </rPr>
      <t>Spot market/e-auction coal</t>
    </r>
    <r>
      <rPr>
        <b/>
        <sz val="11"/>
        <rFont val="Times New Roman"/>
        <family val="1"/>
      </rPr>
      <t>*</t>
    </r>
  </si>
  <si>
    <r>
      <rPr>
        <b/>
        <sz val="11"/>
        <rFont val="Times New Roman"/>
        <family val="1"/>
      </rPr>
      <t>Gross Calorific Value (GCV) :</t>
    </r>
  </si>
  <si>
    <r>
      <rPr>
        <b/>
        <sz val="11"/>
        <rFont val="Times New Roman"/>
        <family val="1"/>
      </rPr>
      <t>(As Billed)</t>
    </r>
  </si>
  <si>
    <r>
      <rPr>
        <sz val="11"/>
        <rFont val="Times New Roman"/>
        <family val="1"/>
      </rPr>
      <t>kCal/kg</t>
    </r>
  </si>
  <si>
    <r>
      <rPr>
        <b/>
        <sz val="11"/>
        <rFont val="Times New Roman"/>
        <family val="1"/>
      </rPr>
      <t>(As Received)</t>
    </r>
  </si>
  <si>
    <r>
      <rPr>
        <b/>
        <sz val="11"/>
        <rFont val="Times New Roman"/>
        <family val="1"/>
      </rPr>
      <t>( As Fired )</t>
    </r>
  </si>
  <si>
    <r>
      <rPr>
        <b/>
        <sz val="11"/>
        <rFont val="Times New Roman"/>
        <family val="1"/>
      </rPr>
      <t>Price of coal :</t>
    </r>
  </si>
  <si>
    <r>
      <rPr>
        <b/>
        <sz val="11"/>
        <rFont val="Times New Roman"/>
        <family val="1"/>
      </rPr>
      <t>Blending :</t>
    </r>
  </si>
  <si>
    <r>
      <rPr>
        <sz val="11"/>
        <rFont val="Times New Roman"/>
        <family val="1"/>
      </rPr>
      <t>Blending ratio of imported coal with domestic coal</t>
    </r>
  </si>
  <si>
    <r>
      <rPr>
        <sz val="11"/>
        <rFont val="Times New Roman"/>
        <family val="1"/>
      </rPr>
      <t>Proportion of e-auction coal in the blending</t>
    </r>
  </si>
  <si>
    <r>
      <rPr>
        <b/>
        <sz val="11"/>
        <rFont val="Times New Roman"/>
        <family val="1"/>
      </rPr>
      <t>Actual Transit &amp; Handling Losses for coal/Lignite</t>
    </r>
  </si>
  <si>
    <r>
      <rPr>
        <sz val="11"/>
        <rFont val="Times New Roman"/>
        <family val="1"/>
      </rPr>
      <t>(%)</t>
    </r>
  </si>
  <si>
    <r>
      <rPr>
        <b/>
        <sz val="11"/>
        <rFont val="Times New Roman"/>
        <family val="1"/>
      </rPr>
      <t>Pit- Head Station</t>
    </r>
  </si>
  <si>
    <r>
      <rPr>
        <sz val="11"/>
        <rFont val="Times New Roman"/>
        <family val="1"/>
      </rPr>
      <t>14.5.1.1</t>
    </r>
  </si>
  <si>
    <r>
      <rPr>
        <sz val="11"/>
        <rFont val="Times New Roman"/>
        <family val="1"/>
      </rPr>
      <t>Transit loss from linked mines</t>
    </r>
  </si>
  <si>
    <r>
      <rPr>
        <sz val="11"/>
        <rFont val="Times New Roman"/>
        <family val="1"/>
      </rPr>
      <t>14.5.1.2</t>
    </r>
  </si>
  <si>
    <r>
      <rPr>
        <sz val="11"/>
        <rFont val="Times New Roman"/>
        <family val="1"/>
      </rPr>
      <t>14.5.1.3</t>
    </r>
  </si>
  <si>
    <r>
      <rPr>
        <sz val="11"/>
        <rFont val="Times New Roman"/>
        <family val="1"/>
      </rPr>
      <t>Transit loss of imported coal</t>
    </r>
  </si>
  <si>
    <r>
      <rPr>
        <b/>
        <sz val="11"/>
        <rFont val="Times New Roman"/>
        <family val="1"/>
      </rPr>
      <t>Non-Pit Head station</t>
    </r>
  </si>
  <si>
    <r>
      <rPr>
        <sz val="11"/>
        <rFont val="Times New Roman"/>
        <family val="1"/>
      </rPr>
      <t>14.5.2.1</t>
    </r>
  </si>
  <si>
    <r>
      <rPr>
        <sz val="11"/>
        <rFont val="Times New Roman"/>
        <family val="1"/>
      </rPr>
      <t>14.5.2.2</t>
    </r>
  </si>
  <si>
    <r>
      <rPr>
        <sz val="11"/>
        <rFont val="Times New Roman"/>
        <family val="1"/>
      </rPr>
      <t>14.5.2.3</t>
    </r>
  </si>
  <si>
    <r>
      <rPr>
        <b/>
        <sz val="11"/>
        <rFont val="Times New Roman"/>
        <family val="1"/>
      </rPr>
      <t xml:space="preserve">Secondary Fuel Oil :
</t>
    </r>
    <r>
      <rPr>
        <sz val="11"/>
        <rFont val="Times New Roman"/>
        <family val="1"/>
      </rPr>
      <t>( If more than one fuel used then give details of all the fuels separately)</t>
    </r>
  </si>
  <si>
    <r>
      <rPr>
        <sz val="11"/>
        <rFont val="Times New Roman"/>
        <family val="1"/>
      </rPr>
      <t>Consumption</t>
    </r>
  </si>
  <si>
    <r>
      <rPr>
        <sz val="11"/>
        <rFont val="Times New Roman"/>
        <family val="1"/>
      </rPr>
      <t>Weighted Average Price</t>
    </r>
  </si>
  <si>
    <r>
      <rPr>
        <sz val="11"/>
        <rFont val="Times New Roman"/>
        <family val="1"/>
      </rPr>
      <t>Actual Average stock maintained</t>
    </r>
  </si>
  <si>
    <r>
      <rPr>
        <b/>
        <sz val="11"/>
        <rFont val="Times New Roman"/>
        <family val="1"/>
      </rPr>
      <t>Weighted  average  duration  of outages( unit-wise details)</t>
    </r>
    <r>
      <rPr>
        <sz val="11"/>
        <rFont val="Times New Roman"/>
        <family val="1"/>
      </rPr>
      <t>:</t>
    </r>
  </si>
  <si>
    <r>
      <rPr>
        <sz val="11"/>
        <rFont val="Times New Roman"/>
        <family val="1"/>
      </rPr>
      <t>Planned Outages</t>
    </r>
  </si>
  <si>
    <r>
      <rPr>
        <sz val="11"/>
        <rFont val="Times New Roman"/>
        <family val="1"/>
      </rPr>
      <t>Forced Outages</t>
    </r>
  </si>
  <si>
    <r>
      <rPr>
        <sz val="11"/>
        <rFont val="Times New Roman"/>
        <family val="1"/>
      </rPr>
      <t>Number of tripping</t>
    </r>
  </si>
  <si>
    <r>
      <rPr>
        <sz val="11"/>
        <rFont val="Times New Roman"/>
        <family val="1"/>
      </rPr>
      <t>Number of start-ups</t>
    </r>
    <r>
      <rPr>
        <b/>
        <sz val="11"/>
        <rFont val="Times New Roman"/>
        <family val="1"/>
      </rPr>
      <t>:</t>
    </r>
  </si>
  <si>
    <r>
      <rPr>
        <sz val="11"/>
        <rFont val="Times New Roman"/>
        <family val="1"/>
      </rPr>
      <t>Cold Start-up</t>
    </r>
  </si>
  <si>
    <r>
      <rPr>
        <sz val="11"/>
        <rFont val="Times New Roman"/>
        <family val="1"/>
      </rPr>
      <t>Warm Start-up</t>
    </r>
  </si>
  <si>
    <r>
      <rPr>
        <sz val="11"/>
        <rFont val="Times New Roman"/>
        <family val="1"/>
      </rPr>
      <t>Hot start-up</t>
    </r>
  </si>
  <si>
    <r>
      <rPr>
        <sz val="11"/>
        <rFont val="Times New Roman"/>
        <family val="1"/>
      </rPr>
      <t xml:space="preserve">NOx , SOx ,and other particulate
matter emission in </t>
    </r>
    <r>
      <rPr>
        <b/>
        <sz val="11"/>
        <rFont val="Times New Roman"/>
        <family val="1"/>
      </rPr>
      <t>:</t>
    </r>
  </si>
  <si>
    <r>
      <rPr>
        <sz val="11"/>
        <rFont val="Times New Roman"/>
        <family val="1"/>
      </rPr>
      <t>Design value of emission control equipment</t>
    </r>
  </si>
  <si>
    <r>
      <rPr>
        <sz val="11"/>
        <rFont val="Times New Roman"/>
        <family val="1"/>
      </rPr>
      <t>ppm or mg/Nm3</t>
    </r>
  </si>
  <si>
    <r>
      <rPr>
        <sz val="11"/>
        <rFont val="Times New Roman"/>
        <family val="1"/>
      </rPr>
      <t>Conversion of value added product</t>
    </r>
  </si>
  <si>
    <r>
      <rPr>
        <sz val="11"/>
        <rFont val="Times New Roman"/>
        <family val="1"/>
      </rPr>
      <t>For making roads &amp;embarkment</t>
    </r>
  </si>
  <si>
    <r>
      <rPr>
        <sz val="11"/>
        <rFont val="Times New Roman"/>
        <family val="1"/>
      </rPr>
      <t>Land filling</t>
    </r>
  </si>
  <si>
    <r>
      <rPr>
        <sz val="11"/>
        <rFont val="Times New Roman"/>
        <family val="1"/>
      </rPr>
      <t>Used in plant site in one or other form or used in some other site</t>
    </r>
  </si>
  <si>
    <r>
      <rPr>
        <sz val="11"/>
        <rFont val="Times New Roman"/>
        <family val="1"/>
      </rPr>
      <t>Any other use , Please specify</t>
    </r>
  </si>
  <si>
    <r>
      <rPr>
        <sz val="11"/>
        <rFont val="Times New Roman"/>
        <family val="1"/>
      </rPr>
      <t>Qty. and
Usage</t>
    </r>
  </si>
  <si>
    <r>
      <rPr>
        <sz val="11"/>
        <rFont val="Times New Roman"/>
        <family val="1"/>
      </rPr>
      <t>( Rs. Lakh)</t>
    </r>
  </si>
  <si>
    <r>
      <rPr>
        <sz val="11"/>
        <rFont val="Times New Roman"/>
        <family val="1"/>
      </rPr>
      <t>Average stock of spares</t>
    </r>
  </si>
  <si>
    <r>
      <rPr>
        <sz val="11"/>
        <rFont val="Times New Roman"/>
        <family val="1"/>
      </rPr>
      <t>(Rs. Lakhs)</t>
    </r>
  </si>
  <si>
    <r>
      <rPr>
        <sz val="11"/>
        <rFont val="Times New Roman"/>
        <family val="1"/>
      </rPr>
      <t>Number       of       employees
deployed in O&amp;M</t>
    </r>
  </si>
  <si>
    <r>
      <rPr>
        <sz val="11"/>
        <rFont val="Times New Roman"/>
        <family val="1"/>
      </rPr>
      <t>- Executives</t>
    </r>
  </si>
  <si>
    <r>
      <rPr>
        <sz val="11"/>
        <rFont val="Times New Roman"/>
        <family val="1"/>
      </rPr>
      <t>- Non Executives</t>
    </r>
  </si>
  <si>
    <r>
      <rPr>
        <sz val="11"/>
        <rFont val="Times New Roman"/>
        <family val="1"/>
      </rPr>
      <t>- Corporate office</t>
    </r>
  </si>
  <si>
    <r>
      <rPr>
        <sz val="11"/>
        <rFont val="Times New Roman"/>
        <family val="1"/>
      </rPr>
      <t>Man-MW ratio</t>
    </r>
  </si>
  <si>
    <r>
      <rPr>
        <sz val="11"/>
        <rFont val="Times New Roman"/>
        <family val="1"/>
      </rPr>
      <t>Man/MW</t>
    </r>
  </si>
  <si>
    <r>
      <rPr>
        <sz val="11"/>
        <rFont val="Times New Roman"/>
        <family val="1"/>
      </rPr>
      <t>Note :- * Not applicable to lignite based thermal power station.</t>
    </r>
  </si>
  <si>
    <r>
      <rPr>
        <b/>
        <sz val="11"/>
        <rFont val="Times New Roman"/>
        <family val="1"/>
      </rPr>
      <t>Note:</t>
    </r>
  </si>
  <si>
    <r>
      <rPr>
        <sz val="11"/>
        <rFont val="Times New Roman"/>
        <family val="1"/>
      </rPr>
      <t>2.       In  case  of  two  or  more  stages  or  two  or  more  unit  sizes,  information  should  be furnished separately to the extent possible.</t>
    </r>
  </si>
  <si>
    <r>
      <rPr>
        <sz val="11"/>
        <rFont val="Times New Roman"/>
        <family val="1"/>
      </rPr>
      <t>3.       A brief write-up on the methodology to arrive at the above performance &amp; operation parameters should also be furnished.</t>
    </r>
  </si>
  <si>
    <r>
      <rPr>
        <sz val="11"/>
        <rFont val="Times New Roman"/>
        <family val="1"/>
      </rPr>
      <t>5.       A note on stock of primary fuel maintained giving details of stacking etc. should be furnished.</t>
    </r>
  </si>
  <si>
    <t>Actual Energy supplied to Colony from the station **</t>
  </si>
  <si>
    <t>**</t>
  </si>
  <si>
    <t>Name of Station/ Pit head or Non- Pit head</t>
  </si>
  <si>
    <t>Transportation Distance of the station from the sources of supply</t>
  </si>
  <si>
    <t>HFO: 1068 LDO: 77</t>
  </si>
  <si>
    <t>HFO: 1267 LDO: 74</t>
  </si>
  <si>
    <t>Particulars</t>
  </si>
  <si>
    <t>Unit</t>
  </si>
  <si>
    <r>
      <t xml:space="preserve">Weighted Average  Gross Calorific value </t>
    </r>
    <r>
      <rPr>
        <b/>
        <sz val="11"/>
        <rFont val="Times New Roman"/>
        <family val="1"/>
      </rPr>
      <t>(As Billed)</t>
    </r>
  </si>
  <si>
    <r>
      <t xml:space="preserve">Weighted  Average  Gross Calorific value </t>
    </r>
    <r>
      <rPr>
        <b/>
        <sz val="11"/>
        <rFont val="Times New Roman"/>
        <family val="1"/>
      </rPr>
      <t>(As Received)</t>
    </r>
  </si>
  <si>
    <r>
      <t xml:space="preserve">Weighted  Average Gross Calorific value </t>
    </r>
    <r>
      <rPr>
        <b/>
        <sz val="11"/>
        <rFont val="Times New Roman"/>
        <family val="1"/>
      </rPr>
      <t>(As Fired)</t>
    </r>
  </si>
  <si>
    <t>Weighted Average Landed price of Domestic coal</t>
  </si>
  <si>
    <t>Weighted Average Landed Price of Imported coal</t>
  </si>
  <si>
    <t>Weighted Average Landed Price of Spot market/e-auction coal</t>
  </si>
  <si>
    <t>Weighted Average Landed Price of all the Coals</t>
  </si>
  <si>
    <t>Annual Allocation/ Requirement</t>
  </si>
  <si>
    <t>K.lit.</t>
  </si>
  <si>
    <t>Annexure I   Contd…..</t>
  </si>
  <si>
    <t>Transit loss from non-linked mines including  e-auction coal mines.</t>
  </si>
  <si>
    <t>Actual emission</t>
  </si>
  <si>
    <t>Annexure –I  Contd…..</t>
  </si>
  <si>
    <t>1.       List  of  beneficiaries/customers  along  with  allocation  by  GoI  including  variable (allocation of unallocated share) / capacity as
          contracted shall also be furnished separately.In case of two or more secondary fuels, information should be furnished for each of the
          secondary fuel.</t>
  </si>
  <si>
    <t>ENCLOSED</t>
  </si>
  <si>
    <t>4.      Any relevant point or a specific fact having bearing on performance or operating parameters may also be highlighted or brought to the
         notice of the Commission.</t>
  </si>
  <si>
    <t>6.      Details of the instances where the generating stations has invoked the 2014 Tariff Regulations blending with imported or open market 
         coal (within the 30% limit of ECR) with/ without consent of beneficiaries.</t>
  </si>
  <si>
    <t>7.      The declared capacity for peak and off peak period should be given separately as per respective RLDC.</t>
  </si>
  <si>
    <t>Detail of Ash utilization % of fly ash produced</t>
  </si>
  <si>
    <r>
      <rPr>
        <sz val="11"/>
        <rFont val="Times New Roman"/>
        <family val="1"/>
      </rPr>
      <t xml:space="preserve">Weighted      Average      Gross Calorific value </t>
    </r>
    <r>
      <rPr>
        <b/>
        <sz val="11"/>
        <rFont val="Times New Roman"/>
        <family val="1"/>
      </rPr>
      <t>(As received)</t>
    </r>
  </si>
  <si>
    <t>Transit loss from non-linked mines including   e-auction coal mines.</t>
  </si>
  <si>
    <t>(%)</t>
  </si>
  <si>
    <r>
      <rPr>
        <sz val="9"/>
        <rFont val="Times New Roman"/>
        <family val="1"/>
      </rPr>
      <t>Days
&amp; MT</t>
    </r>
  </si>
  <si>
    <t>KM</t>
  </si>
  <si>
    <t>Rs. Lakh</t>
  </si>
  <si>
    <r>
      <t>Rated Steam Pressure:89 Kg/Cm</t>
    </r>
    <r>
      <rPr>
        <vertAlign val="super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,</t>
    </r>
    <r>
      <rPr>
        <vertAlign val="superscript"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Rated Steam Temperature: 535</t>
    </r>
    <r>
      <rPr>
        <vertAlign val="superscript"/>
        <sz val="11"/>
        <color rgb="FF000000"/>
        <rFont val="Times New Roman"/>
        <family val="1"/>
      </rPr>
      <t>0</t>
    </r>
    <r>
      <rPr>
        <sz val="11"/>
        <color rgb="FF000000"/>
        <rFont val="Times New Roman"/>
        <family val="1"/>
      </rPr>
      <t xml:space="preserve"> C
Type of steam turbine: Non Reheat, Regenerative, Condensing, Impulse-Reaction Turbine of single cylinder (50 MW) and Double Cylinder (100 MW), Type of Boiler: Natural Circulation, Front wall fired, Dry bottom, Water Tube, ᴨ type Boiler</t>
    </r>
  </si>
  <si>
    <t>Rs/MT</t>
  </si>
  <si>
    <t>MT/KL</t>
  </si>
  <si>
    <t>Rs/MT
or KL</t>
  </si>
  <si>
    <t>MT or KL</t>
  </si>
  <si>
    <r>
      <t xml:space="preserve">Boiler </t>
    </r>
    <r>
      <rPr>
        <sz val="11"/>
        <rFont val="Times New Roman"/>
        <family val="1"/>
      </rPr>
      <t>Days</t>
    </r>
  </si>
  <si>
    <t>KCal/Lit.</t>
  </si>
  <si>
    <t>% and MT
(of the total coal consumed )</t>
  </si>
  <si>
    <t>Rs./KL</t>
  </si>
  <si>
    <t>Spot market/
e-auction coal</t>
  </si>
  <si>
    <r>
      <t xml:space="preserve">Cost    of    spares    actually consumed </t>
    </r>
    <r>
      <rPr>
        <b/>
        <sz val="11"/>
        <rFont val="Times New Roman"/>
        <family val="1"/>
      </rPr>
      <t>#</t>
    </r>
  </si>
  <si>
    <t>8.1.2</t>
  </si>
  <si>
    <t>:Total Energy supplied includes consumption of Township only</t>
  </si>
  <si>
    <t>HFO: 1157
LDO: 74</t>
  </si>
  <si>
    <t>UNIT :</t>
  </si>
  <si>
    <t>NLC TPS I 600 MW</t>
  </si>
  <si>
    <t>Nil</t>
  </si>
  <si>
    <t>Nos</t>
  </si>
  <si>
    <t>17 lac tonnes including Mines storage</t>
  </si>
  <si>
    <r>
      <rPr>
        <b/>
        <sz val="10"/>
        <rFont val="Times New Roman"/>
        <family val="1"/>
      </rPr>
      <t>(As Received)</t>
    </r>
  </si>
  <si>
    <t>Equivalent to domestic coal</t>
  </si>
  <si>
    <r>
      <rPr>
        <b/>
        <sz val="12"/>
        <rFont val="Arial"/>
        <family val="2"/>
      </rPr>
      <t>Annexure –IV</t>
    </r>
  </si>
  <si>
    <r>
      <rPr>
        <b/>
        <sz val="12"/>
        <rFont val="Calibri"/>
        <family val="2"/>
      </rPr>
      <t xml:space="preserve">PLANT AVAILABILITY/SCHEDULED PLANT LOAD FACTOR ACHIEVED
</t>
    </r>
    <r>
      <rPr>
        <sz val="12"/>
        <rFont val="Calibri"/>
        <family val="2"/>
      </rPr>
      <t>Generating company: NLC India Limited.
Name of Generating station: Thermal Power Station - I
Installed Capacity (MW) : 600 MW
Normative Annual Plant Availability Factor (%) approved by Commission : 72%</t>
    </r>
  </si>
  <si>
    <t>Plant Availability Factor Achieved (%)</t>
  </si>
  <si>
    <r>
      <rPr>
        <b/>
        <sz val="12"/>
        <rFont val="Calibri"/>
        <family val="2"/>
      </rPr>
      <t>Month</t>
    </r>
  </si>
  <si>
    <r>
      <rPr>
        <b/>
        <sz val="12"/>
        <rFont val="Arial"/>
        <family val="2"/>
      </rPr>
      <t>2012-13</t>
    </r>
  </si>
  <si>
    <r>
      <rPr>
        <b/>
        <sz val="12"/>
        <rFont val="Arial"/>
        <family val="2"/>
      </rPr>
      <t>2013-14</t>
    </r>
  </si>
  <si>
    <r>
      <rPr>
        <b/>
        <sz val="12"/>
        <rFont val="Arial"/>
        <family val="2"/>
      </rPr>
      <t>2014-15</t>
    </r>
  </si>
  <si>
    <r>
      <rPr>
        <b/>
        <sz val="12"/>
        <rFont val="Arial"/>
        <family val="2"/>
      </rPr>
      <t>2015-16</t>
    </r>
  </si>
  <si>
    <r>
      <rPr>
        <b/>
        <sz val="12"/>
        <rFont val="Arial"/>
        <family val="2"/>
      </rPr>
      <t>2016-17</t>
    </r>
  </si>
  <si>
    <r>
      <rPr>
        <b/>
        <sz val="12"/>
        <rFont val="Calibri"/>
        <family val="2"/>
      </rPr>
      <t>Reasons for shortfall in PAF
achieved vis-a-vis NAPAF</t>
    </r>
  </si>
  <si>
    <r>
      <rPr>
        <sz val="12"/>
        <rFont val="Calibri"/>
        <family val="2"/>
      </rPr>
      <t>April</t>
    </r>
  </si>
  <si>
    <t>The reasons for short fall in achieving NAPAF for the year 2014-15 to 2016-17 is enclosed as Annexure.</t>
  </si>
  <si>
    <r>
      <rPr>
        <sz val="12"/>
        <rFont val="Calibri"/>
        <family val="2"/>
      </rPr>
      <t>May</t>
    </r>
  </si>
  <si>
    <r>
      <rPr>
        <sz val="12"/>
        <rFont val="Calibri"/>
        <family val="2"/>
      </rPr>
      <t>June</t>
    </r>
  </si>
  <si>
    <r>
      <rPr>
        <sz val="12"/>
        <rFont val="Calibri"/>
        <family val="2"/>
      </rPr>
      <t>July</t>
    </r>
  </si>
  <si>
    <r>
      <rPr>
        <sz val="12"/>
        <rFont val="Calibri"/>
        <family val="2"/>
      </rPr>
      <t>August</t>
    </r>
  </si>
  <si>
    <r>
      <rPr>
        <sz val="12"/>
        <rFont val="Calibri"/>
        <family val="2"/>
      </rPr>
      <t>September</t>
    </r>
  </si>
  <si>
    <r>
      <rPr>
        <sz val="12"/>
        <rFont val="Calibri"/>
        <family val="2"/>
      </rPr>
      <t>October</t>
    </r>
  </si>
  <si>
    <r>
      <rPr>
        <sz val="12"/>
        <rFont val="Calibri"/>
        <family val="2"/>
      </rPr>
      <t>November</t>
    </r>
  </si>
  <si>
    <r>
      <rPr>
        <sz val="12"/>
        <rFont val="Calibri"/>
        <family val="2"/>
      </rPr>
      <t>December</t>
    </r>
  </si>
  <si>
    <r>
      <rPr>
        <sz val="12"/>
        <rFont val="Calibri"/>
        <family val="2"/>
      </rPr>
      <t>January</t>
    </r>
  </si>
  <si>
    <r>
      <rPr>
        <sz val="12"/>
        <rFont val="Calibri"/>
        <family val="2"/>
      </rPr>
      <t>February</t>
    </r>
  </si>
  <si>
    <r>
      <rPr>
        <sz val="12"/>
        <rFont val="Calibri"/>
        <family val="2"/>
      </rPr>
      <t>March</t>
    </r>
  </si>
  <si>
    <r>
      <rPr>
        <b/>
        <sz val="12"/>
        <rFont val="Calibri"/>
        <family val="2"/>
      </rPr>
      <t>Annual</t>
    </r>
  </si>
  <si>
    <r>
      <rPr>
        <b/>
        <sz val="12"/>
        <rFont val="Calibri"/>
        <family val="2"/>
      </rPr>
      <t>Plant Load Factor Achieved (%)</t>
    </r>
  </si>
  <si>
    <r>
      <rPr>
        <sz val="12"/>
        <rFont val="Calibri"/>
        <family val="2"/>
      </rPr>
      <t>Month</t>
    </r>
  </si>
  <si>
    <r>
      <rPr>
        <b/>
        <sz val="12"/>
        <rFont val="Calibri"/>
        <family val="2"/>
      </rPr>
      <t>Reasons for shortfall in PLF
achieved vis-a-vis Target PLF</t>
    </r>
  </si>
  <si>
    <t>The reasons for short fall in achieving Targetted PLF for the year 2014-15 to 2016-17 is enclosed as Annexure.</t>
  </si>
  <si>
    <r>
      <rPr>
        <b/>
        <sz val="10"/>
        <rFont val="Arial"/>
        <family val="34"/>
      </rPr>
      <t>Annexure-V (C)</t>
    </r>
  </si>
  <si>
    <t>Name of Generating  Station  : TPS-I 600 MW</t>
  </si>
  <si>
    <t xml:space="preserve">COD of Units/Station:     </t>
  </si>
  <si>
    <r>
      <rPr>
        <b/>
        <sz val="9"/>
        <rFont val="Calibri"/>
        <family val="34"/>
      </rPr>
      <t>Details of expenditure incurred from Compensation Allowance and Special Allowance during Tariff Period 2009-14</t>
    </r>
  </si>
  <si>
    <r>
      <rPr>
        <b/>
        <sz val="9"/>
        <rFont val="Century Gothic"/>
        <family val="34"/>
      </rPr>
      <t>FY Year</t>
    </r>
  </si>
  <si>
    <r>
      <rPr>
        <b/>
        <sz val="9"/>
        <rFont val="Century Gothic"/>
        <family val="34"/>
      </rPr>
      <t>Add- cap allowed by the Commis sion under the provisio n of Regulati on 9(2)</t>
    </r>
  </si>
  <si>
    <r>
      <rPr>
        <b/>
        <sz val="9"/>
        <rFont val="Century Gothic"/>
        <family val="34"/>
      </rPr>
      <t xml:space="preserve">Compens atory allowance allowed
</t>
    </r>
    <r>
      <rPr>
        <b/>
        <sz val="9"/>
        <rFont val="Century Gothic"/>
        <family val="34"/>
      </rPr>
      <t>by the Commissi on, if any</t>
    </r>
  </si>
  <si>
    <r>
      <rPr>
        <b/>
        <sz val="9"/>
        <rFont val="Century Gothic"/>
        <family val="34"/>
      </rPr>
      <t xml:space="preserve">Special allowanc e
</t>
    </r>
    <r>
      <rPr>
        <b/>
        <sz val="9"/>
        <rFont val="Century Gothic"/>
        <family val="34"/>
      </rPr>
      <t>allowed by the Commiss ion, if any</t>
    </r>
  </si>
  <si>
    <r>
      <rPr>
        <b/>
        <sz val="9"/>
        <rFont val="Century Gothic"/>
        <family val="34"/>
      </rPr>
      <t>Details of Asset/Work wise Capitalisation based on the Expenditure allowed by the Commission in the tariff period 2009-14</t>
    </r>
  </si>
  <si>
    <r>
      <rPr>
        <b/>
        <sz val="9"/>
        <rFont val="Century Gothic"/>
        <family val="34"/>
      </rPr>
      <t>Capitali sation done which has not been claime d/ allowed in the tariff</t>
    </r>
  </si>
  <si>
    <t>Total Addition during the year</t>
  </si>
  <si>
    <r>
      <rPr>
        <b/>
        <sz val="9"/>
        <rFont val="Century Gothic"/>
        <family val="34"/>
      </rPr>
      <t xml:space="preserve">Total Additi on durin g  the year as
</t>
    </r>
    <r>
      <rPr>
        <b/>
        <sz val="9"/>
        <rFont val="Century Gothic"/>
        <family val="34"/>
      </rPr>
      <t xml:space="preserve">per duly audit ed Sche dule of Fixed
</t>
    </r>
    <r>
      <rPr>
        <b/>
        <sz val="9"/>
        <rFont val="Century Gothic"/>
        <family val="34"/>
      </rPr>
      <t>Asset</t>
    </r>
  </si>
  <si>
    <r>
      <rPr>
        <b/>
        <sz val="9"/>
        <rFont val="Century Gothic"/>
        <family val="34"/>
      </rPr>
      <t xml:space="preserve">Variati on if any to be recon ciled
</t>
    </r>
    <r>
      <rPr>
        <b/>
        <sz val="9"/>
        <rFont val="Century Gothic"/>
        <family val="34"/>
      </rPr>
      <t>/justifi ed.</t>
    </r>
  </si>
  <si>
    <r>
      <rPr>
        <b/>
        <sz val="9"/>
        <rFont val="Century Gothic"/>
        <family val="34"/>
      </rPr>
      <t xml:space="preserve">Capitalisation out of add cap allowed under Regulation
</t>
    </r>
    <r>
      <rPr>
        <b/>
        <sz val="9"/>
        <rFont val="Century Gothic"/>
        <family val="34"/>
      </rPr>
      <t>9(2)</t>
    </r>
  </si>
  <si>
    <r>
      <rPr>
        <b/>
        <sz val="9"/>
        <rFont val="Century Gothic"/>
        <family val="34"/>
      </rPr>
      <t xml:space="preserve">Capitalisation  out of Compensati on allowance
</t>
    </r>
    <r>
      <rPr>
        <b/>
        <sz val="9"/>
        <rFont val="Century Gothic"/>
        <family val="34"/>
      </rPr>
      <t>in the stations wherever applicable</t>
    </r>
  </si>
  <si>
    <r>
      <rPr>
        <b/>
        <sz val="9"/>
        <rFont val="Century Gothic"/>
        <family val="34"/>
      </rPr>
      <t xml:space="preserve">Capitalisa tion out of Special Allowanc e allowed in the stations where applicabl
</t>
    </r>
    <r>
      <rPr>
        <b/>
        <sz val="9"/>
        <rFont val="Century Gothic"/>
        <family val="34"/>
      </rPr>
      <t>e</t>
    </r>
  </si>
  <si>
    <r>
      <rPr>
        <sz val="9"/>
        <rFont val="Century Gothic"/>
        <family val="34"/>
      </rPr>
      <t>Asset</t>
    </r>
    <r>
      <rPr>
        <sz val="9"/>
        <rFont val="Century Gothic"/>
        <family val="34"/>
      </rPr>
      <t>/</t>
    </r>
    <r>
      <rPr>
        <sz val="9"/>
        <rFont val="Century Gothic"/>
        <family val="34"/>
      </rPr>
      <t>work</t>
    </r>
  </si>
  <si>
    <r>
      <rPr>
        <b/>
        <sz val="9"/>
        <rFont val="Century Gothic"/>
        <family val="34"/>
      </rPr>
      <t>(Rs.la kh)</t>
    </r>
  </si>
  <si>
    <r>
      <rPr>
        <sz val="9"/>
        <rFont val="Century Gothic"/>
        <family val="34"/>
      </rPr>
      <t>Asset</t>
    </r>
    <r>
      <rPr>
        <sz val="9"/>
        <rFont val="Century Gothic"/>
        <family val="34"/>
      </rPr>
      <t>/work</t>
    </r>
  </si>
  <si>
    <r>
      <rPr>
        <b/>
        <sz val="9"/>
        <rFont val="Century Gothic"/>
        <family val="34"/>
      </rPr>
      <t>(Rs. lak h)</t>
    </r>
  </si>
  <si>
    <r>
      <rPr>
        <sz val="9"/>
        <rFont val="Century Gothic"/>
        <family val="34"/>
      </rPr>
      <t>Ass et/ wo rk</t>
    </r>
  </si>
  <si>
    <t>2009-10</t>
  </si>
  <si>
    <t xml:space="preserve">2010-11
</t>
  </si>
  <si>
    <t xml:space="preserve">2011-12
</t>
  </si>
  <si>
    <t>2012-13</t>
  </si>
  <si>
    <t>2013-14</t>
  </si>
  <si>
    <t>2014-15</t>
  </si>
  <si>
    <r>
      <rPr>
        <b/>
        <sz val="9"/>
        <rFont val="Century Gothic"/>
        <family val="34"/>
      </rPr>
      <t>Note :Similar Details shall be furnished for the period 2014-15 to 2016-17 under Tariff Regulations, 2014</t>
    </r>
  </si>
  <si>
    <r>
      <rPr>
        <b/>
        <sz val="12"/>
        <rFont val="Times New Roman"/>
        <family val="1"/>
      </rPr>
      <t>Annexure-VI (C)</t>
    </r>
  </si>
  <si>
    <r>
      <rPr>
        <b/>
        <sz val="12"/>
        <rFont val="Times New Roman"/>
        <family val="1"/>
      </rPr>
      <t>DETAILS OF WATER CHARGES</t>
    </r>
  </si>
  <si>
    <r>
      <rPr>
        <b/>
        <sz val="12"/>
        <rFont val="Times New Roman"/>
        <family val="1"/>
      </rPr>
      <t>(To be filled for each of the Thermal Generating Station )</t>
    </r>
  </si>
  <si>
    <t>Name of the Company: NLC INDIA LIMITED</t>
  </si>
  <si>
    <t xml:space="preserve">Name of the Power Station: THERMAL POWER STATION - I </t>
  </si>
  <si>
    <r>
      <rPr>
        <sz val="12"/>
        <rFont val="Times New Roman"/>
        <family val="1"/>
      </rPr>
      <t>(Rs. In Lakhs)</t>
    </r>
  </si>
  <si>
    <r>
      <rPr>
        <sz val="12"/>
        <rFont val="Times New Roman"/>
        <family val="1"/>
      </rPr>
      <t>Sl.No.</t>
    </r>
  </si>
  <si>
    <r>
      <rPr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</si>
  <si>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2012-13</t>
    </r>
  </si>
  <si>
    <r>
      <rPr>
        <b/>
        <sz val="12"/>
        <rFont val="Times New Roman"/>
        <family val="1"/>
      </rPr>
      <t>2013-14</t>
    </r>
  </si>
  <si>
    <r>
      <rPr>
        <b/>
        <sz val="12"/>
        <rFont val="Times New Roman"/>
        <family val="1"/>
      </rPr>
      <t>2014-15</t>
    </r>
  </si>
  <si>
    <r>
      <rPr>
        <b/>
        <sz val="12"/>
        <rFont val="Times New Roman"/>
        <family val="1"/>
      </rPr>
      <t>2015-16</t>
    </r>
  </si>
  <si>
    <r>
      <rPr>
        <b/>
        <sz val="12"/>
        <rFont val="Times New Roman"/>
        <family val="1"/>
      </rPr>
      <t>2016-17</t>
    </r>
  </si>
  <si>
    <r>
      <rPr>
        <sz val="12"/>
        <rFont val="Times New Roman"/>
        <family val="1"/>
      </rPr>
      <t>(A)</t>
    </r>
  </si>
  <si>
    <r>
      <rPr>
        <b/>
        <sz val="12"/>
        <rFont val="Times New Roman"/>
        <family val="1"/>
      </rPr>
      <t>Plant</t>
    </r>
  </si>
  <si>
    <r>
      <rPr>
        <sz val="12"/>
        <rFont val="Times New Roman"/>
        <family val="1"/>
      </rPr>
      <t>Type of Plant</t>
    </r>
  </si>
  <si>
    <t>Thermal Power Plant</t>
  </si>
  <si>
    <r>
      <rPr>
        <sz val="12"/>
        <rFont val="Times New Roman"/>
        <family val="1"/>
      </rPr>
      <t>Type of Cooling Tower</t>
    </r>
  </si>
  <si>
    <t>Induced Draft Cooling Tower</t>
  </si>
  <si>
    <r>
      <rPr>
        <sz val="12"/>
        <rFont val="Times New Roman"/>
        <family val="1"/>
      </rPr>
      <t>Type of Cooling Water System</t>
    </r>
  </si>
  <si>
    <t>Any Special Features which may increase/reduce water consumption</t>
  </si>
  <si>
    <t>Pit head Power Station with water requirement met by Mine itself.</t>
  </si>
  <si>
    <r>
      <rPr>
        <sz val="12"/>
        <rFont val="Times New Roman"/>
        <family val="1"/>
      </rPr>
      <t>(B)</t>
    </r>
  </si>
  <si>
    <r>
      <rPr>
        <b/>
        <sz val="12"/>
        <rFont val="Times New Roman"/>
        <family val="1"/>
      </rPr>
      <t>Quantum of Water : ( Cubic Meter)</t>
    </r>
  </si>
  <si>
    <r>
      <rPr>
        <sz val="12"/>
        <rFont val="Times New Roman"/>
        <family val="1"/>
      </rPr>
      <t>Contracted Quantum</t>
    </r>
  </si>
  <si>
    <r>
      <rPr>
        <sz val="12"/>
        <rFont val="Times New Roman"/>
        <family val="1"/>
      </rPr>
      <t>Allocation of Water</t>
    </r>
  </si>
  <si>
    <t>Actual water Consumption in KL</t>
  </si>
  <si>
    <t>1,72,23,347</t>
  </si>
  <si>
    <t>1,67,90,989</t>
  </si>
  <si>
    <t>1,70,62,201</t>
  </si>
  <si>
    <t>1,54,49,562</t>
  </si>
  <si>
    <t>1,55,57,742</t>
  </si>
  <si>
    <r>
      <rPr>
        <sz val="12"/>
        <rFont val="Times New Roman"/>
        <family val="1"/>
      </rPr>
      <t>Rate of Water Charges</t>
    </r>
  </si>
  <si>
    <r>
      <t>Industrial Cooling - 0.10 Rs/m</t>
    </r>
    <r>
      <rPr>
        <vertAlign val="superscript"/>
        <sz val="12"/>
        <color rgb="FF000000"/>
        <rFont val="Times New Roman"/>
        <family val="1"/>
      </rPr>
      <t xml:space="preserve">3
</t>
    </r>
    <r>
      <rPr>
        <sz val="12"/>
        <color rgb="FF000000"/>
        <rFont val="Times New Roman"/>
        <family val="1"/>
      </rPr>
      <t>Domestic purpose - 0.03 Rs/m</t>
    </r>
    <r>
      <rPr>
        <vertAlign val="superscript"/>
        <sz val="12"/>
        <color rgb="FF000000"/>
        <rFont val="Times New Roman"/>
        <family val="1"/>
      </rPr>
      <t xml:space="preserve">3
</t>
    </r>
    <r>
      <rPr>
        <sz val="12"/>
        <color rgb="FF000000"/>
        <rFont val="Times New Roman"/>
        <family val="1"/>
      </rPr>
      <t>Process Water - 0.20 Rs/m</t>
    </r>
    <r>
      <rPr>
        <vertAlign val="superscript"/>
        <sz val="12"/>
        <color rgb="FF000000"/>
        <rFont val="Times New Roman"/>
        <family val="1"/>
      </rPr>
      <t>3</t>
    </r>
  </si>
  <si>
    <r>
      <rPr>
        <sz val="12"/>
        <rFont val="Times New Roman"/>
        <family val="1"/>
      </rPr>
      <t>Other charges/Fees , if paid as part  of Water Charges</t>
    </r>
  </si>
  <si>
    <t>0.376  Rs/m3 for the year 2016-17 to Mines towards pumping charges</t>
  </si>
  <si>
    <r>
      <rPr>
        <sz val="12"/>
        <rFont val="Times New Roman"/>
        <family val="1"/>
      </rPr>
      <t>Total water Charges Paid</t>
    </r>
  </si>
  <si>
    <t>Note::</t>
  </si>
  <si>
    <r>
      <rPr>
        <sz val="12"/>
        <rFont val="Times New Roman"/>
        <family val="1"/>
      </rPr>
      <t>Any abnormal increase in Water consumption &amp; water Charges on any year shall be explained  separately</t>
    </r>
  </si>
  <si>
    <r>
      <rPr>
        <b/>
        <sz val="12"/>
        <rFont val="Arial"/>
        <family val="34"/>
      </rPr>
      <t>Annexure VI (D)</t>
    </r>
  </si>
  <si>
    <r>
      <rPr>
        <b/>
        <sz val="12"/>
        <rFont val="Arial"/>
        <family val="34"/>
      </rPr>
      <t>DETAILS OF CAPITAL SPARES</t>
    </r>
  </si>
  <si>
    <t>(To be filled for each of the Thermal Generating Station or Transmission System in each Region)
( For ULDC  scheme to be filled up separately )</t>
  </si>
  <si>
    <t>Name of the Power Station or Transmission Region: THERMAL POWER STATION - I</t>
  </si>
  <si>
    <r>
      <rPr>
        <sz val="12"/>
        <rFont val="Arial"/>
        <family val="34"/>
      </rPr>
      <t>(Rs. In Lakhs)</t>
    </r>
  </si>
  <si>
    <r>
      <rPr>
        <b/>
        <sz val="12"/>
        <rFont val="Arial"/>
        <family val="34"/>
      </rPr>
      <t>Sl.No.</t>
    </r>
  </si>
  <si>
    <r>
      <rPr>
        <b/>
        <sz val="12"/>
        <rFont val="Arial"/>
        <family val="34"/>
      </rPr>
      <t>ITEM</t>
    </r>
  </si>
  <si>
    <r>
      <rPr>
        <b/>
        <sz val="12"/>
        <rFont val="Arial"/>
        <family val="34"/>
      </rPr>
      <t>2012-13</t>
    </r>
  </si>
  <si>
    <r>
      <rPr>
        <b/>
        <sz val="12"/>
        <rFont val="Arial"/>
        <family val="34"/>
      </rPr>
      <t>2013-14</t>
    </r>
  </si>
  <si>
    <r>
      <rPr>
        <b/>
        <sz val="12"/>
        <rFont val="Arial"/>
        <family val="34"/>
      </rPr>
      <t>2014-15</t>
    </r>
  </si>
  <si>
    <r>
      <rPr>
        <b/>
        <sz val="12"/>
        <rFont val="Arial"/>
        <family val="34"/>
      </rPr>
      <t>2015-16</t>
    </r>
  </si>
  <si>
    <r>
      <rPr>
        <b/>
        <sz val="12"/>
        <rFont val="Arial"/>
        <family val="34"/>
      </rPr>
      <t>2016-17</t>
    </r>
  </si>
  <si>
    <r>
      <rPr>
        <sz val="12"/>
        <rFont val="Arial"/>
        <family val="34"/>
      </rPr>
      <t>(A)</t>
    </r>
  </si>
  <si>
    <r>
      <rPr>
        <sz val="12"/>
        <rFont val="Arial"/>
        <family val="34"/>
      </rPr>
      <t>Details of Capital Spares in opening Stock</t>
    </r>
  </si>
  <si>
    <r>
      <rPr>
        <sz val="12"/>
        <rFont val="Arial"/>
        <family val="34"/>
      </rPr>
      <t>(B)</t>
    </r>
  </si>
  <si>
    <r>
      <rPr>
        <sz val="12"/>
        <rFont val="Arial"/>
        <family val="34"/>
      </rPr>
      <t>Details of Capital Spares procured during the year</t>
    </r>
  </si>
  <si>
    <r>
      <rPr>
        <sz val="12"/>
        <rFont val="Arial"/>
        <family val="34"/>
      </rPr>
      <t>(C)</t>
    </r>
  </si>
  <si>
    <r>
      <rPr>
        <sz val="12"/>
        <rFont val="Arial"/>
        <family val="34"/>
      </rPr>
      <t>Details of capital spares consumed during the year</t>
    </r>
  </si>
  <si>
    <t>Year wise Consumption List Enclosed (only soft copy)</t>
  </si>
  <si>
    <r>
      <rPr>
        <sz val="12"/>
        <rFont val="Arial"/>
        <family val="34"/>
      </rPr>
      <t>…</t>
    </r>
  </si>
  <si>
    <r>
      <rPr>
        <sz val="12"/>
        <rFont val="Arial"/>
        <family val="34"/>
      </rPr>
      <t>(D)</t>
    </r>
  </si>
  <si>
    <t>Details of capital spares closing at the end of the Year</t>
  </si>
  <si>
    <t>Captital Spares 2012-13</t>
  </si>
  <si>
    <t>Date of drawal</t>
  </si>
  <si>
    <t>Material Code</t>
  </si>
  <si>
    <t>Item Description</t>
  </si>
  <si>
    <t>Quantity</t>
  </si>
  <si>
    <t>Rate (Rs)</t>
  </si>
  <si>
    <t>Total Amount in Rs</t>
  </si>
  <si>
    <t>Input spiral bevel pinion and spiral bevel wheel.</t>
  </si>
  <si>
    <t>Fluidomat SMD - 9/12.</t>
  </si>
  <si>
    <t>HOLDBACK FOR 125 KW FLENDER G/B</t>
  </si>
  <si>
    <t>ROTOR SHAFT FOR MILLS</t>
  </si>
  <si>
    <t>ID FAN IMPELLER (MODIFIED).</t>
  </si>
  <si>
    <t>INNER CASING FOR ASH SLURRY PUMP</t>
  </si>
  <si>
    <t>IMPELLER WITH LOCK NUT FOR SLURRY PUMP.</t>
  </si>
  <si>
    <t>50mm DIA CONTROL VALVE WITH ECDR FOR INJECTION MANIFOLD STATION.</t>
  </si>
  <si>
    <t>SECONDARY AIR SWIRLER</t>
  </si>
  <si>
    <t>CONTROL VALVE WITH ECDR FOR FEED MANIFOLD LINE</t>
  </si>
  <si>
    <t>ELECTRICALLY OPERATED GLOBE VALVE OF SIZE 65MM DIA</t>
  </si>
  <si>
    <t>TOOTHED COUPLING FOR OIL PUMP OF TURBINE AS PER DRG: B1198460 OR 1164720</t>
  </si>
  <si>
    <t>FRP BLADE</t>
  </si>
  <si>
    <t>Spares for 30TR AHUs - Cooling coil</t>
  </si>
  <si>
    <t>Rotor assembly for KSB old Feed Pump</t>
  </si>
  <si>
    <t>Stage casing for KSB Feed pump</t>
  </si>
  <si>
    <t>Disc Coupling for FP (Shaft dia 140/68mm-DBSE:178mm)</t>
  </si>
  <si>
    <t>Disc Coupling suitable for FP(Shaft dia 140/74 mm-DBSE: 186mm )</t>
  </si>
  <si>
    <t>SPARES FOR KIRLOSKAR MAKE VERTICAL CIRCULATING WATER PUMP BHK-70</t>
  </si>
  <si>
    <t>Impeller shaft</t>
  </si>
  <si>
    <t>Head Shaft Part No.:185 02 01.</t>
  </si>
  <si>
    <t>Butt weld end Gate Valve</t>
  </si>
  <si>
    <t>SIZE 100 M.M E/O GATE VALVE</t>
  </si>
  <si>
    <t>SF6 GAS IN CYLINDERS OF CAPACITY 50 KG. FOR SF6 GAS CIRCUIT BREAKERS.</t>
  </si>
  <si>
    <t>LT MOTOR, 415V, 110 KW 1500 RPM SQ.CAGE INDUCTION MOTOR</t>
  </si>
  <si>
    <t>16 CH BINARY I/P MODULE(48V)(69203IB1BA UNC4661AV2).</t>
  </si>
  <si>
    <t>DC-DC SUPPLY MODULE(69203PY1AA UNO664AV1)</t>
  </si>
  <si>
    <t>AC/DC SUPPLY MODULE(69203PZ1AA UNC4664AV1)</t>
  </si>
  <si>
    <t>AC-DC / DC Power Supply pack (MDL CE69133411 UN0098A-P)</t>
  </si>
  <si>
    <t>Air Circuit Breaker</t>
  </si>
  <si>
    <t>DSTA 155 P Connection Unit for Cold Junction Compensation</t>
  </si>
  <si>
    <t>Flame Scanner</t>
  </si>
  <si>
    <t>Electronic unit for SPM Monitor</t>
  </si>
  <si>
    <t>Water Column Type - 501-14</t>
  </si>
  <si>
    <t>DISPLAY/ DETECTOR PCB OF ELECTRONIC DRUM</t>
  </si>
  <si>
    <t>Total Value in Rs.</t>
  </si>
  <si>
    <t>Captital Spares 2013-14</t>
  </si>
  <si>
    <t>HYDROFLURRIC ACID 40%</t>
  </si>
  <si>
    <t>5KV INSULATION TESTER W/ACCESSORIES</t>
  </si>
  <si>
    <t>75 KW Elecon make gear box. (Gear ratio 18.7:1)</t>
  </si>
  <si>
    <t>Fluidomate T 12/08 or Vulcan Sinclair 20" size</t>
  </si>
  <si>
    <t>MAGTORQ GEAR BOX S-10-160</t>
  </si>
  <si>
    <t>Shaft for Roll Crushers.</t>
  </si>
  <si>
    <t>GEAR GROUP</t>
  </si>
  <si>
    <t>Air Block Ist Stage</t>
  </si>
  <si>
    <t>After Cooler Assembly</t>
  </si>
  <si>
    <t>Spares for 2HA2P model Air Compressor.</t>
  </si>
  <si>
    <t>100 mm STOP VALVE WITH ELECTRICAL DRIVE FOR BLOW DOWN VENT.</t>
  </si>
  <si>
    <t>Balancing disc for KSB old Feed Pump</t>
  </si>
  <si>
    <t>counter balancing disc : spare for KSB Feed Pump</t>
  </si>
  <si>
    <t>Balancing Disc for KSB new Feed Pump</t>
  </si>
  <si>
    <t>Counter Balancing Disc for KSB new Feed Pump</t>
  </si>
  <si>
    <t>Rotor Assembly for KSB Feed pump.Model HGC 4/12</t>
  </si>
  <si>
    <t>Impeller Blade Adjuster for Russian Vertical CW Pump</t>
  </si>
  <si>
    <t>SPARES FOR KIRLOSKAR MAKE VERTICAL CIRCULATING WATER PUMPBHK-70</t>
  </si>
  <si>
    <t>SPARES FOR KIRLOSKAR MAKE VERTICAL CWP BHK-70 : Head shaft</t>
  </si>
  <si>
    <t>Swing Check NR Valve 8" 1500 Class</t>
  </si>
  <si>
    <t>250mm Dia electrically operated class 300 WCB Gate valve</t>
  </si>
  <si>
    <t>225MM STOP VALVE WITH ECDR FOR V317</t>
  </si>
  <si>
    <t>ELECTRICALLY OPERATED GATE VALVE</t>
  </si>
  <si>
    <t>VACUUM CONTACTOR TRUCK</t>
  </si>
  <si>
    <t>HERMETICALLY SEALED OUT DOOR TYPE , OIL COOLED , SINGLE PHASE 132 KV POTENTIAL TRANSFORMER.</t>
  </si>
  <si>
    <t>45KW, 1500RPM, 415V, 3-Ph, SQUIRREL CAGE INDUCTION MOTOR</t>
  </si>
  <si>
    <t>LT MOTOR, 415V, 90 KW 3000 RPM SQ.CAGE INDUCTION MOTOR</t>
  </si>
  <si>
    <t>LT MOTOR, 415 VOLTS, 3 phase,125 KW , 1000 RPM SQ. CAGE INDUCTION MOTOR</t>
  </si>
  <si>
    <t>ACTUATOR FOR 200MM VALVE, ROTORK ELECTRIC ACTUATOR</t>
  </si>
  <si>
    <t>ACTUATOR,K150 F10A,ROTORK ELECTRIC ACTUATOR</t>
  </si>
  <si>
    <t>Analog RTD Input Module - DSAI 146</t>
  </si>
  <si>
    <t>DSTA 156B Thermocouple Connection Unit</t>
  </si>
  <si>
    <t>High Energy Ignition Device</t>
  </si>
  <si>
    <t>Oxygen Analyser converter</t>
  </si>
  <si>
    <t>NO2 to NO Convertor for stack analyzer</t>
  </si>
  <si>
    <t>Total Value</t>
  </si>
  <si>
    <t>Captital Spares 2014-15</t>
  </si>
  <si>
    <t>BATTERY POWERED HYDRAULIC OPERATED CRIMPING TOOL.</t>
  </si>
  <si>
    <t>OSCILLOSCOPE</t>
  </si>
  <si>
    <t>DEAD WEIGHT TESTER</t>
  </si>
  <si>
    <t>f 630 x 1800 mm Snub Pulley assembly</t>
  </si>
  <si>
    <t>45KW GEAR BOX FOR CONVEYOR NO 5</t>
  </si>
  <si>
    <t>125 KW, Three stage FLENDER Gear box</t>
  </si>
  <si>
    <t>BEND PULLEY OF SIZE DIA 800 X 1400 mm</t>
  </si>
  <si>
    <t>TAIL END PULLEY AND SNUB PULLEY OF DIA 630X1400</t>
  </si>
  <si>
    <t>7.5KW Triple Reduction Bevel Helical Gear Box of Type KZAS-250</t>
  </si>
  <si>
    <t>Inter Cooler Assembly for ELGI NH105 Instrument Air Compressor.</t>
  </si>
  <si>
    <t>IMPELLER FOR FD FAN - RIGHT HAND</t>
  </si>
  <si>
    <t>IMPELLER FOR FD FAN - LEFT HAND</t>
  </si>
  <si>
    <t>100 mm Cast CS Stop Valve / Gate Valve with ECDR</t>
  </si>
  <si>
    <t>ID FAN SHAFT</t>
  </si>
  <si>
    <t>SUCTION COVER WITH ITS FLANGES AND FASTENERS FOR ASH SLURRY PUMP.</t>
  </si>
  <si>
    <t>Air Conditioning Plant Cooling Tower Cells - 200 TR Capacity</t>
  </si>
  <si>
    <t>Impeller 2 - 9 Stage for KSB old Feed Pump</t>
  </si>
  <si>
    <t>Suction Impeller for KSB Feed Pump</t>
  </si>
  <si>
    <t>Diffuser for first stage of KSB Feed pump</t>
  </si>
  <si>
    <t>Cubic Flexible Disc Coupling betwn.Hydro coupling and feed pump.</t>
  </si>
  <si>
    <t>Spares for KSB Feed pump HGC4/12Diffuser stage 1 to 4</t>
  </si>
  <si>
    <t>Spares For KSB Feed Pump Model HGC 4/12 Diffuser stage 5 to 11</t>
  </si>
  <si>
    <t>SPARES FOR KIRLOSKAR MAKE VERTICAL CIRCULATING WATERPUMP BHK70</t>
  </si>
  <si>
    <t>50mm Electrically operated class 300 globe valve</t>
  </si>
  <si>
    <t>SIZE 200MM,CLASS 1500,ELECTRICALLY OPERATED GATE VALVE</t>
  </si>
  <si>
    <t>200 mm, Class 300, Electrically Operated Gate Valve</t>
  </si>
  <si>
    <t>145KV OUTDOOR TYPE CURRENT TRANSFORMER OF RATIO 600/555A+ 1200/ 11 A FOR UNITS.</t>
  </si>
  <si>
    <t>750 mm dia, oil cooler fan with adaptor</t>
  </si>
  <si>
    <t>Variable Frequency Drive Module with remote and key pad control</t>
  </si>
  <si>
    <t>Battery Discharge Resistor Bank</t>
  </si>
  <si>
    <t>Integrated Bus Bar Protn Peripheral Unit</t>
  </si>
  <si>
    <t>Interface Relay for P740,Type: KITZ27401T15CEE</t>
  </si>
  <si>
    <t>Microprocessor based ARECA ESP controller</t>
  </si>
  <si>
    <t>High Energy Ignition Transformer</t>
  </si>
  <si>
    <t>Controller</t>
  </si>
  <si>
    <t>Micro Processor based gas analyser.</t>
  </si>
  <si>
    <t>LASER tach sensor with block.</t>
  </si>
  <si>
    <t>Low Pressure Vacuum Calibrator.</t>
  </si>
  <si>
    <t>Name of the Power Station  THERMAL POWER STATION - I</t>
  </si>
  <si>
    <t>Captital Spares 2015-16</t>
  </si>
  <si>
    <t>75 KW CAPCITY DOUBLE REDUCTION GEAR BOX FOR EXTERNAL CONVEYOR.</t>
  </si>
  <si>
    <t>AIR BLOCK IInd stage for ELGI</t>
  </si>
  <si>
    <t>Tube bundle-Part No.B10310401.</t>
  </si>
  <si>
    <t>65 mm Cast CS Control Valve with ECDR</t>
  </si>
  <si>
    <t>175 mm Cast CS Stop Valve / Gate Valve with ECDR</t>
  </si>
  <si>
    <t>DIAPHRAGM IN TWO HALVES FOR 13TH STAGE OF TURBINE</t>
  </si>
  <si>
    <t>DIAPHRAGM IN TWO HALVES FOR 14TH STAGE OF TURBINE</t>
  </si>
  <si>
    <t>Rotating Assembly with cast iron impeller</t>
  </si>
  <si>
    <t>150 mm Class 600, Electrically Operated Gate Valve</t>
  </si>
  <si>
    <t>Size 300mm, Parallel Gate Valve H/O.</t>
  </si>
  <si>
    <t>SIZE 400 MM, E/O CAST IRON VALVE</t>
  </si>
  <si>
    <t>HT MOTOR, 3.3 KV, 200 KW, 750 RPM MILL MOTOR</t>
  </si>
  <si>
    <t>110 KW, 415 V, 3000 RPM Sqirrel cage Induction Motor.</t>
  </si>
  <si>
    <t>NUMERICAL GENERATOR PROTECTION RELAY TYPE REG</t>
  </si>
  <si>
    <t>14 system control card</t>
  </si>
  <si>
    <t>Digital Output- 32 Points</t>
  </si>
  <si>
    <t>Digital Input TOP</t>
  </si>
  <si>
    <t>High Level Analog Input</t>
  </si>
  <si>
    <t>Analog Output IOP 16 Points</t>
  </si>
  <si>
    <t>Low level Analog MUX</t>
  </si>
  <si>
    <t>P. S. module</t>
  </si>
  <si>
    <t>SMPS used in Honeywell PMIO Power supply</t>
  </si>
  <si>
    <t>Digital Input SOE 32 points.</t>
  </si>
  <si>
    <t>VIBRATION PICK UPS 7MJ 1211 - 8BA</t>
  </si>
  <si>
    <t>Captital Spares 2016-17</t>
  </si>
  <si>
    <t>HYDROCHLORIC ACID (HCL) TO IS 265/1970</t>
  </si>
  <si>
    <t>DIGITAL 10 KV INSULATION TESTER</t>
  </si>
  <si>
    <t>Drive drum Shaft for 1500mm Conveyors.</t>
  </si>
  <si>
    <t>Air End Assembly</t>
  </si>
  <si>
    <t>Movitec VCF 06/11B with 3KW KSB pump for Dust Suppression System</t>
  </si>
  <si>
    <t>150MM DIA UPPER CONTROL VALVE FOR 100 MW TURBINE</t>
  </si>
  <si>
    <t>36V, 299 AH, TRACTION BATTERY FOR 2 TON JOTRUCK</t>
  </si>
  <si>
    <t>SENSONICS make converter for differential expansion - probe (9M)</t>
  </si>
  <si>
    <t>Lead Acid Battery</t>
  </si>
  <si>
    <t>Upgraded HMI system for Honeywell DCS.</t>
  </si>
  <si>
    <t>Operating work station</t>
  </si>
  <si>
    <t>High Energy Ignition Transformer with Lance &amp; Ignition tip</t>
  </si>
  <si>
    <t>Oxygen analyzer probe</t>
  </si>
  <si>
    <t>Lift Overload Protection System.</t>
  </si>
  <si>
    <r>
      <rPr>
        <b/>
        <sz val="11"/>
        <rFont val="Times New Roman"/>
        <family val="1"/>
      </rPr>
      <t>Annexure VI(A)</t>
    </r>
  </si>
  <si>
    <r>
      <rPr>
        <b/>
        <sz val="11"/>
        <rFont val="Times New Roman"/>
        <family val="1"/>
      </rPr>
      <t>DETAILS OF OPERATION AND MAINTENANCE EXPENSES</t>
    </r>
  </si>
  <si>
    <r>
      <rPr>
        <sz val="11"/>
        <rFont val="Times New Roman"/>
        <family val="1"/>
      </rPr>
      <t>(To be filled for each of the Thermal /Hydro Generating Station)</t>
    </r>
  </si>
  <si>
    <t>Name of the Company:NLC INDIA LIMITED (formerly Neyveli Lignite Corporation Limited)</t>
  </si>
  <si>
    <t>Name of the Power Station: Thermal Power Sation I</t>
  </si>
  <si>
    <r>
      <rPr>
        <sz val="11"/>
        <rFont val="Times New Roman"/>
        <family val="1"/>
      </rPr>
      <t>(Rs. In Lakhs)</t>
    </r>
  </si>
  <si>
    <r>
      <rPr>
        <b/>
        <sz val="11"/>
        <rFont val="Times New Roman"/>
        <family val="1"/>
      </rPr>
      <t>Sl.No.</t>
    </r>
  </si>
  <si>
    <r>
      <rPr>
        <b/>
        <sz val="11"/>
        <rFont val="Times New Roman"/>
        <family val="1"/>
      </rPr>
      <t>ITEM</t>
    </r>
  </si>
  <si>
    <t>MIS</t>
  </si>
  <si>
    <t>CTB</t>
  </si>
  <si>
    <r>
      <rPr>
        <sz val="11"/>
        <rFont val="Times New Roman"/>
        <family val="1"/>
      </rPr>
      <t>(A)</t>
    </r>
  </si>
  <si>
    <r>
      <rPr>
        <sz val="11"/>
        <rFont val="Times New Roman"/>
        <family val="1"/>
      </rPr>
      <t>Breakup of O&amp;M expenses :</t>
    </r>
  </si>
  <si>
    <r>
      <rPr>
        <sz val="11"/>
        <rFont val="Times New Roman"/>
        <family val="1"/>
      </rPr>
      <t>Consumption of Stores and Spares</t>
    </r>
  </si>
  <si>
    <t>ok</t>
  </si>
  <si>
    <r>
      <rPr>
        <sz val="11"/>
        <rFont val="Times New Roman"/>
        <family val="1"/>
      </rPr>
      <t>Repair and Maintenance</t>
    </r>
  </si>
  <si>
    <r>
      <rPr>
        <sz val="11"/>
        <rFont val="Times New Roman"/>
        <family val="1"/>
      </rPr>
      <t>Insurance</t>
    </r>
  </si>
  <si>
    <t>Insurance</t>
  </si>
  <si>
    <r>
      <rPr>
        <sz val="11"/>
        <rFont val="Times New Roman"/>
        <family val="1"/>
      </rPr>
      <t>Security (normal)</t>
    </r>
  </si>
  <si>
    <r>
      <rPr>
        <sz val="11"/>
        <rFont val="Times New Roman"/>
        <family val="1"/>
      </rPr>
      <t>Additional Security it any on the advise of Govt. Agency/
Statutory Authorityf</t>
    </r>
  </si>
  <si>
    <r>
      <rPr>
        <sz val="11"/>
        <rFont val="Times New Roman"/>
        <family val="1"/>
      </rPr>
      <t>Water Charges</t>
    </r>
  </si>
  <si>
    <r>
      <rPr>
        <sz val="11"/>
        <rFont val="Times New Roman"/>
        <family val="1"/>
      </rPr>
      <t>Administrative Expenses :</t>
    </r>
  </si>
  <si>
    <r>
      <rPr>
        <sz val="11"/>
        <rFont val="Times New Roman"/>
        <family val="1"/>
      </rPr>
      <t>- Rent</t>
    </r>
  </si>
  <si>
    <t>Rent (Minor)-4601/4602/4613</t>
  </si>
  <si>
    <r>
      <rPr>
        <sz val="11"/>
        <rFont val="Times New Roman"/>
        <family val="1"/>
      </rPr>
      <t>- Electricity Charges</t>
    </r>
  </si>
  <si>
    <r>
      <rPr>
        <sz val="11"/>
        <rFont val="Times New Roman"/>
        <family val="1"/>
      </rPr>
      <t>- Traveling and conveyance</t>
    </r>
  </si>
  <si>
    <t>travelling (Major)</t>
  </si>
  <si>
    <r>
      <rPr>
        <sz val="11"/>
        <rFont val="Times New Roman"/>
        <family val="1"/>
      </rPr>
      <t>- Communication expenses</t>
    </r>
  </si>
  <si>
    <t>P&amp;T and Telex (Minor)-5502/5503/5520/5565</t>
  </si>
  <si>
    <r>
      <rPr>
        <sz val="11"/>
        <rFont val="Times New Roman"/>
        <family val="1"/>
      </rPr>
      <t>- Advertising</t>
    </r>
  </si>
  <si>
    <r>
      <rPr>
        <sz val="11"/>
        <rFont val="Times New Roman"/>
        <family val="1"/>
      </rPr>
      <t>- Foundation laying and inauguration</t>
    </r>
  </si>
  <si>
    <r>
      <rPr>
        <sz val="11"/>
        <rFont val="Times New Roman"/>
        <family val="1"/>
      </rPr>
      <t>- Donations</t>
    </r>
  </si>
  <si>
    <r>
      <rPr>
        <sz val="11"/>
        <rFont val="Times New Roman"/>
        <family val="1"/>
      </rPr>
      <t>- Entertainment</t>
    </r>
  </si>
  <si>
    <t>Entertainment Expr (Minor)-5541/5542</t>
  </si>
  <si>
    <r>
      <rPr>
        <sz val="11"/>
        <rFont val="Times New Roman"/>
        <family val="1"/>
      </rPr>
      <t>-Filing Fees</t>
    </r>
  </si>
  <si>
    <r>
      <rPr>
        <i/>
        <sz val="11"/>
        <rFont val="Times New Roman"/>
        <family val="1"/>
      </rPr>
      <t>Sub-Total (Administrative Expenses)</t>
    </r>
  </si>
  <si>
    <r>
      <rPr>
        <sz val="11"/>
        <rFont val="Times New Roman"/>
        <family val="1"/>
      </rPr>
      <t>Employee Cost</t>
    </r>
  </si>
  <si>
    <r>
      <rPr>
        <sz val="11"/>
        <rFont val="Times New Roman"/>
        <family val="1"/>
      </rPr>
      <t>-Salaries, wages and allowances</t>
    </r>
  </si>
  <si>
    <t>Emp. Remuneration</t>
  </si>
  <si>
    <r>
      <rPr>
        <sz val="11"/>
        <rFont val="Times New Roman"/>
        <family val="1"/>
      </rPr>
      <t>-Staff welfare expenses</t>
    </r>
  </si>
  <si>
    <t>Welfare Expenses</t>
  </si>
  <si>
    <r>
      <rPr>
        <sz val="11"/>
        <rFont val="Times New Roman"/>
        <family val="1"/>
      </rPr>
      <t>-Productivity linked incentive</t>
    </r>
  </si>
  <si>
    <t>Bonus &amp; Incentives</t>
  </si>
  <si>
    <r>
      <rPr>
        <sz val="11"/>
        <rFont val="Times New Roman"/>
        <family val="1"/>
      </rPr>
      <t>- Expenditure on VRS</t>
    </r>
  </si>
  <si>
    <r>
      <rPr>
        <sz val="11"/>
        <rFont val="Times New Roman"/>
        <family val="1"/>
      </rPr>
      <t>-Ex-gratia</t>
    </r>
  </si>
  <si>
    <t>Superannuation Benefits ,CPF &amp; Gratuity</t>
  </si>
  <si>
    <r>
      <rPr>
        <sz val="11"/>
        <rFont val="Times New Roman"/>
        <family val="1"/>
      </rPr>
      <t>-Performance related pay (PRP)</t>
    </r>
  </si>
  <si>
    <t>GL-4024</t>
  </si>
  <si>
    <r>
      <rPr>
        <i/>
        <sz val="11"/>
        <rFont val="Times New Roman"/>
        <family val="1"/>
      </rPr>
      <t>Sub-Total (Employee Cost)</t>
    </r>
  </si>
  <si>
    <r>
      <rPr>
        <sz val="11"/>
        <rFont val="Times New Roman"/>
        <family val="1"/>
      </rPr>
      <t>Loss of store</t>
    </r>
  </si>
  <si>
    <r>
      <rPr>
        <sz val="11"/>
        <rFont val="Times New Roman"/>
        <family val="1"/>
      </rPr>
      <t>Provisions</t>
    </r>
  </si>
  <si>
    <t>Provisions</t>
  </si>
  <si>
    <r>
      <rPr>
        <sz val="11"/>
        <rFont val="Times New Roman"/>
        <family val="1"/>
      </rPr>
      <t>Prior Period Adjustment , if any</t>
    </r>
  </si>
  <si>
    <r>
      <rPr>
        <sz val="11"/>
        <rFont val="Times New Roman"/>
        <family val="1"/>
      </rPr>
      <t>Corporate office expenses allocation</t>
    </r>
  </si>
  <si>
    <t>Common Charges</t>
  </si>
  <si>
    <r>
      <rPr>
        <sz val="11"/>
        <rFont val="Times New Roman"/>
        <family val="1"/>
      </rPr>
      <t>- Others (Specify items)</t>
    </r>
  </si>
  <si>
    <r>
      <rPr>
        <b/>
        <sz val="11"/>
        <rFont val="Times New Roman"/>
        <family val="1"/>
      </rPr>
      <t>Total (1 to 12)</t>
    </r>
  </si>
  <si>
    <t>14.1</t>
  </si>
  <si>
    <t>Revenue/ Recoveries, if any</t>
  </si>
  <si>
    <t>Recovery</t>
  </si>
  <si>
    <r>
      <rPr>
        <b/>
        <sz val="11"/>
        <rFont val="Times New Roman"/>
        <family val="1"/>
      </rPr>
      <t>Net Expenses</t>
    </r>
  </si>
  <si>
    <r>
      <rPr>
        <sz val="11"/>
        <rFont val="Times New Roman"/>
        <family val="1"/>
      </rPr>
      <t xml:space="preserve">Capital spares consumed </t>
    </r>
    <r>
      <rPr>
        <b/>
        <sz val="11"/>
        <rFont val="Times New Roman"/>
        <family val="1"/>
      </rPr>
      <t xml:space="preserve">not included in (A) (1)
above and not claimed /allowed by Commission </t>
    </r>
    <r>
      <rPr>
        <sz val="11"/>
        <rFont val="Times New Roman"/>
        <family val="1"/>
      </rPr>
      <t>for</t>
    </r>
  </si>
  <si>
    <r>
      <rPr>
        <sz val="11"/>
        <rFont val="Times New Roman"/>
        <family val="1"/>
      </rPr>
      <t>Notes:</t>
    </r>
  </si>
  <si>
    <t>Other Expenses-Break up</t>
  </si>
  <si>
    <t>Internal Services</t>
  </si>
  <si>
    <t>Canteen Expenses</t>
  </si>
  <si>
    <t>Pheripheral Expenses</t>
  </si>
  <si>
    <t>Tender Advertisement</t>
  </si>
  <si>
    <t>Rent, Rates &amp; Taxes</t>
  </si>
  <si>
    <t>Licence Fees</t>
  </si>
  <si>
    <t>Miscellaneous Expenses</t>
  </si>
  <si>
    <t>Total</t>
  </si>
  <si>
    <t>Check</t>
  </si>
  <si>
    <t>Ex-Gratia Break up</t>
  </si>
  <si>
    <t>Gratuity</t>
  </si>
  <si>
    <t>CPF</t>
  </si>
  <si>
    <t>Superannuation Benefits</t>
  </si>
  <si>
    <t>Salaries &amp; Wages</t>
  </si>
  <si>
    <t>EL Encashment</t>
  </si>
  <si>
    <t>STAFF WELFARE EXPENSES: - TPSI</t>
  </si>
  <si>
    <t>TS I</t>
  </si>
  <si>
    <t>Description</t>
  </si>
  <si>
    <t>(Rs.in Lakhs)</t>
  </si>
  <si>
    <t>MEDICAL REFERRAL PAYMENT</t>
  </si>
  <si>
    <t>EMPLOYEES WELFARE EXPENSES - MEDICAL EXP.OTHERS</t>
  </si>
  <si>
    <t>REIMBURSMENT OF MEMBER.FEE FOR PROFL. BODIES-EXE.</t>
  </si>
  <si>
    <t>EMPLOYEES WELFARE EXPENSES - UNIFORMS &amp; LIVERIES</t>
  </si>
  <si>
    <t>SCHOLARSHIPS TO WARD</t>
  </si>
  <si>
    <t>SAFETY PERSONAL PROTECTIVE EQUIPMENTS</t>
  </si>
  <si>
    <t>EMPLOYEES WELFARE EXPENSES - OTHER EXPENSES</t>
  </si>
  <si>
    <t>PMT UNDER POST RETIREMENT</t>
  </si>
  <si>
    <t>T.A.MEDICAL</t>
  </si>
  <si>
    <t>T.A.SUPERANNUATION.</t>
  </si>
  <si>
    <t>LOCAL PURCHASE-MEDICINES</t>
  </si>
  <si>
    <t>0 </t>
  </si>
  <si>
    <t>IUSS Canteen Expenses</t>
  </si>
  <si>
    <t>8960/8961/8962</t>
  </si>
  <si>
    <r>
      <rPr>
        <b/>
        <sz val="11"/>
        <rFont val="Times New Roman"/>
        <family val="1"/>
      </rPr>
      <t>Annexure-VIII</t>
    </r>
  </si>
  <si>
    <r>
      <rPr>
        <b/>
        <sz val="11"/>
        <rFont val="Times New Roman"/>
        <family val="1"/>
      </rPr>
      <t>DETAILS OF O &amp; M EXPENSES (At Corporate Level/Regional Level)</t>
    </r>
  </si>
  <si>
    <t>( Rs. In Lacs)</t>
  </si>
  <si>
    <r>
      <rPr>
        <sz val="11"/>
        <rFont val="Times New Roman"/>
        <family val="1"/>
      </rPr>
      <t>Sl.No.</t>
    </r>
  </si>
  <si>
    <r>
      <rPr>
        <sz val="11"/>
        <rFont val="Times New Roman"/>
        <family val="1"/>
      </rPr>
      <t>ITEM</t>
    </r>
  </si>
  <si>
    <r>
      <rPr>
        <b/>
        <sz val="11"/>
        <rFont val="Times New Roman"/>
        <family val="1"/>
      </rPr>
      <t>(A)</t>
    </r>
  </si>
  <si>
    <r>
      <rPr>
        <b/>
        <sz val="11"/>
        <rFont val="Times New Roman"/>
        <family val="1"/>
      </rPr>
      <t>Breakup of corporate expenses (Aggregate at Company level)</t>
    </r>
  </si>
  <si>
    <r>
      <rPr>
        <sz val="11"/>
        <rFont val="Times New Roman"/>
        <family val="1"/>
      </rPr>
      <t>- Employee expenses:</t>
    </r>
  </si>
  <si>
    <r>
      <rPr>
        <sz val="11"/>
        <rFont val="Times New Roman"/>
        <family val="1"/>
      </rPr>
      <t>-Performance related pay( PRP)</t>
    </r>
  </si>
  <si>
    <t>Sub - Total ( Employee Expenses)</t>
  </si>
  <si>
    <r>
      <rPr>
        <b/>
        <sz val="11"/>
        <rFont val="Times New Roman"/>
        <family val="1"/>
      </rPr>
      <t>Administrative Expenses:</t>
    </r>
  </si>
  <si>
    <r>
      <rPr>
        <sz val="11"/>
        <rFont val="Times New Roman"/>
        <family val="1"/>
      </rPr>
      <t>- Repair and maintenance</t>
    </r>
  </si>
  <si>
    <r>
      <rPr>
        <sz val="11"/>
        <rFont val="Times New Roman"/>
        <family val="1"/>
      </rPr>
      <t>- Communication</t>
    </r>
  </si>
  <si>
    <r>
      <rPr>
        <sz val="11"/>
        <rFont val="Times New Roman"/>
        <family val="1"/>
      </rPr>
      <t>- Traveling &amp; Conveyance</t>
    </r>
  </si>
  <si>
    <t>Sub - Total (Administrative )</t>
  </si>
  <si>
    <r>
      <rPr>
        <sz val="11"/>
        <rFont val="Times New Roman"/>
        <family val="1"/>
      </rPr>
      <t>Security</t>
    </r>
  </si>
  <si>
    <r>
      <rPr>
        <sz val="11"/>
        <rFont val="Times New Roman"/>
        <family val="1"/>
      </rPr>
      <t>Donations</t>
    </r>
  </si>
  <si>
    <r>
      <rPr>
        <sz val="11"/>
        <rFont val="Times New Roman"/>
        <family val="1"/>
      </rPr>
      <t>Others (specify items)</t>
    </r>
  </si>
  <si>
    <t xml:space="preserve">    a.)  Advertising</t>
  </si>
  <si>
    <t xml:space="preserve">    b.)   Insurance</t>
  </si>
  <si>
    <t xml:space="preserve">    c.) Consumption of  Stores and Spares</t>
  </si>
  <si>
    <t xml:space="preserve">    d.)  Service Debit</t>
  </si>
  <si>
    <t xml:space="preserve">    e.)  Taxes and Duties</t>
  </si>
  <si>
    <t xml:space="preserve">    f.)  Depreciaiton</t>
  </si>
  <si>
    <t xml:space="preserve">    g.)  Finance Cost</t>
  </si>
  <si>
    <t xml:space="preserve">    h.)  Electricity</t>
  </si>
  <si>
    <t xml:space="preserve">    i.) Entertainment expenses</t>
  </si>
  <si>
    <t xml:space="preserve">    j.)  Other Expenses</t>
  </si>
  <si>
    <r>
      <rPr>
        <b/>
        <sz val="11"/>
        <rFont val="Times New Roman"/>
        <family val="1"/>
      </rPr>
      <t>Total (1 to 6)</t>
    </r>
  </si>
  <si>
    <r>
      <rPr>
        <sz val="11"/>
        <rFont val="Times New Roman"/>
        <family val="1"/>
      </rPr>
      <t>Less recoveries (if any)</t>
    </r>
  </si>
  <si>
    <r>
      <rPr>
        <b/>
        <sz val="11"/>
        <rFont val="Times New Roman"/>
        <family val="1"/>
      </rPr>
      <t>Net Corporate Expenses (Aggregate)</t>
    </r>
  </si>
  <si>
    <r>
      <rPr>
        <sz val="11"/>
        <rFont val="Times New Roman"/>
        <family val="1"/>
      </rPr>
      <t>(B)</t>
    </r>
  </si>
  <si>
    <r>
      <rPr>
        <sz val="11"/>
        <rFont val="Times New Roman"/>
        <family val="1"/>
      </rPr>
      <t>Allocation of Corporate Expenses to</t>
    </r>
  </si>
  <si>
    <r>
      <rPr>
        <sz val="11"/>
        <rFont val="Times New Roman"/>
        <family val="1"/>
      </rPr>
      <t>Power Generation/Transmission O&amp;M</t>
    </r>
  </si>
  <si>
    <r>
      <rPr>
        <sz val="11"/>
        <rFont val="Times New Roman"/>
        <family val="1"/>
      </rPr>
      <t>Project management/Projects under
Construction</t>
    </r>
  </si>
  <si>
    <r>
      <rPr>
        <sz val="11"/>
        <rFont val="Times New Roman"/>
        <family val="1"/>
      </rPr>
      <t>RLDC and ULDC</t>
    </r>
  </si>
  <si>
    <r>
      <rPr>
        <sz val="11"/>
        <rFont val="Times New Roman"/>
        <family val="1"/>
      </rPr>
      <t>Consultancy Business</t>
    </r>
  </si>
  <si>
    <r>
      <rPr>
        <sz val="11"/>
        <rFont val="Times New Roman"/>
        <family val="1"/>
      </rPr>
      <t>Telecommunication Business</t>
    </r>
  </si>
  <si>
    <r>
      <rPr>
        <sz val="11"/>
        <rFont val="Times New Roman"/>
        <family val="1"/>
      </rPr>
      <t>Any other</t>
    </r>
  </si>
  <si>
    <r>
      <rPr>
        <sz val="11"/>
        <rFont val="Times New Roman"/>
        <family val="1"/>
      </rPr>
      <t>Note: Heads indicated above are illustrative. Generating companies or the transmission utilities may furnish the allocations in different functional activities suited to their company.</t>
    </r>
  </si>
  <si>
    <r>
      <rPr>
        <sz val="11"/>
        <rFont val="Times New Roman"/>
        <family val="1"/>
      </rPr>
      <t>(C)</t>
    </r>
  </si>
  <si>
    <r>
      <rPr>
        <sz val="11"/>
        <rFont val="Times New Roman"/>
        <family val="1"/>
      </rPr>
      <t>Allocation of Corporate Expenses relating to functional activity of power
Generation or the transmission to various generating stations or the
transmission region/systems as the case may be.</t>
    </r>
  </si>
  <si>
    <r>
      <rPr>
        <sz val="11"/>
        <rFont val="Times New Roman"/>
        <family val="1"/>
      </rPr>
      <t>Generating station 1 / Transmission
Region 1</t>
    </r>
  </si>
  <si>
    <r>
      <rPr>
        <sz val="11"/>
        <rFont val="Times New Roman"/>
        <family val="1"/>
      </rPr>
      <t>Generating station 2 /
Transmission Region 2 ……..</t>
    </r>
  </si>
  <si>
    <r>
      <rPr>
        <sz val="11"/>
        <rFont val="Times New Roman"/>
        <family val="1"/>
      </rPr>
      <t>Note:</t>
    </r>
  </si>
  <si>
    <r>
      <rPr>
        <sz val="11"/>
        <rFont val="Times New Roman"/>
        <family val="1"/>
      </rPr>
      <t>Year-wise audited actual O&amp;M expenses submitted for the period 2012-13 to 2016-17 should be clearly</t>
    </r>
  </si>
  <si>
    <r>
      <rPr>
        <sz val="11"/>
        <rFont val="Times New Roman"/>
        <family val="1"/>
      </rPr>
      <t>indicating the following:</t>
    </r>
  </si>
  <si>
    <r>
      <rPr>
        <sz val="11"/>
        <rFont val="Times New Roman"/>
        <family val="1"/>
      </rPr>
      <t>(i)Explanation / Justification for year to year variation of more than (±) 10% in any head of O&amp;M</t>
    </r>
  </si>
  <si>
    <r>
      <rPr>
        <sz val="11"/>
        <rFont val="Times New Roman"/>
        <family val="1"/>
      </rPr>
      <t>expenses.</t>
    </r>
  </si>
  <si>
    <r>
      <rPr>
        <sz val="11"/>
        <rFont val="Times New Roman"/>
        <family val="1"/>
      </rPr>
      <t>(ii) Details of expenditure under the head "Others".</t>
    </r>
  </si>
  <si>
    <r>
      <rPr>
        <sz val="11"/>
        <rFont val="Times New Roman"/>
        <family val="1"/>
      </rPr>
      <t>(iii) Details of the amount indicated under the head "Revenues/Recoveries".</t>
    </r>
  </si>
  <si>
    <r>
      <rPr>
        <sz val="11"/>
        <rFont val="Times New Roman"/>
        <family val="1"/>
      </rPr>
      <t>(iv) Details of arrears and prior period adjustments included in the data for the period 2012-13 to 2016-17, if</t>
    </r>
  </si>
  <si>
    <r>
      <rPr>
        <sz val="11"/>
        <rFont val="Times New Roman"/>
        <family val="1"/>
      </rPr>
      <t>any, pertaining to period prior to the year 2012-13 should be mentioned separately in the following format:</t>
    </r>
  </si>
  <si>
    <r>
      <rPr>
        <sz val="11"/>
        <rFont val="Times New Roman"/>
        <family val="1"/>
      </rPr>
      <t>Sl.
No.</t>
    </r>
  </si>
  <si>
    <r>
      <rPr>
        <sz val="11"/>
        <rFont val="Times New Roman"/>
        <family val="1"/>
      </rPr>
      <t>Year during the period 2012-17 in
which      arrear/      prior      period adjustments have been made</t>
    </r>
  </si>
  <si>
    <r>
      <rPr>
        <sz val="11"/>
        <rFont val="Times New Roman"/>
        <family val="1"/>
      </rPr>
      <t>Year to which this arrear
and        prior        period adjustment pertains</t>
    </r>
  </si>
  <si>
    <r>
      <rPr>
        <sz val="11"/>
        <rFont val="Times New Roman"/>
        <family val="1"/>
      </rPr>
      <t>(v) Separately furnish the details of abnormal expenses, if any.</t>
    </r>
  </si>
  <si>
    <r>
      <rPr>
        <sz val="11"/>
        <rFont val="Times New Roman"/>
        <family val="1"/>
      </rPr>
      <t>(vi)  Future provisions pertaining to period beyond 2016-17 made in the employee cost or any other head during</t>
    </r>
  </si>
  <si>
    <r>
      <rPr>
        <sz val="11"/>
        <rFont val="Times New Roman"/>
        <family val="1"/>
      </rPr>
      <t>2012-13 to 2016-17 towards wage revision/arrears or for any other reason shall be provided separately.</t>
    </r>
  </si>
  <si>
    <r>
      <rPr>
        <sz val="11"/>
        <rFont val="Times New Roman"/>
        <family val="1"/>
      </rPr>
      <t>(vii) Details of Regional level expenses to be provided separately giving methodology of allocation of Regional</t>
    </r>
  </si>
  <si>
    <t>GL-9002</t>
  </si>
  <si>
    <t>YEAR/UNIT</t>
  </si>
  <si>
    <t>MINE-I</t>
  </si>
  <si>
    <t>MINE-IA</t>
  </si>
  <si>
    <t>MINE-II</t>
  </si>
  <si>
    <t>BTP-MINE</t>
  </si>
  <si>
    <t>TPS-I</t>
  </si>
  <si>
    <t>TPS-I EXPN</t>
  </si>
  <si>
    <t>TPS-II</t>
  </si>
  <si>
    <t>BTPS</t>
  </si>
  <si>
    <t>TPS-II EXPN</t>
  </si>
  <si>
    <t>TOTAL</t>
  </si>
  <si>
    <t>Rs in Lakhs</t>
  </si>
  <si>
    <t>ALLOCATION  BASIS</t>
  </si>
  <si>
    <t>RATIO</t>
  </si>
  <si>
    <t>diff</t>
  </si>
  <si>
    <t>ALLOCATION</t>
  </si>
  <si>
    <t>adjustment s</t>
  </si>
  <si>
    <t>a</t>
  </si>
  <si>
    <t>Actual as per SWCR</t>
  </si>
  <si>
    <t>Allocated as per Allocation</t>
  </si>
  <si>
    <t>common</t>
  </si>
  <si>
    <t>SOH</t>
  </si>
  <si>
    <t>TOTAL TO BE ADJUSTED</t>
  </si>
  <si>
    <t>ADDED WITH OTHER ADMIN</t>
  </si>
  <si>
    <t>b</t>
  </si>
  <si>
    <t>gl 5009 HAS NOT BEEN CONSIDERED WHILE ALLOCATION DONE - ADDED IN OTHERS ADMIN-Rs 810.51 lakh</t>
  </si>
  <si>
    <t>c</t>
  </si>
  <si>
    <t>added with Others admin</t>
  </si>
  <si>
    <t>NOTES TO ANNEXURE VIA</t>
  </si>
  <si>
    <t>1. Corporate expenses have been allocated as furnished in Annexure VIII</t>
  </si>
  <si>
    <t>2. Reasons for variation in excess of 10%: Increase of 1. Salary &amp; Wages 2.Stores and Spares 3.Repir &amp; Maintenance Expenditure</t>
  </si>
  <si>
    <t>3.O &amp; M Expenses, which includes Lignite Handling System expenditure have been reconciled with audited Balance Sheet.</t>
  </si>
  <si>
    <t>4.Break up of employees expenditure furnished below</t>
  </si>
  <si>
    <t>5.Break up of Staff welfare expenses furnished</t>
  </si>
  <si>
    <t>6.No.Abnormal expenses</t>
  </si>
  <si>
    <t>8.Details of water charges furnished in Annexure VIC</t>
  </si>
  <si>
    <t>7.No of Employees for VRS: 5</t>
  </si>
  <si>
    <t xml:space="preserve">Annexure-I  </t>
  </si>
  <si>
    <t>Capital Additions in the Year 2009-10</t>
  </si>
  <si>
    <t>Sl.No</t>
  </si>
  <si>
    <t>Scheme</t>
  </si>
  <si>
    <t>Glcode</t>
  </si>
  <si>
    <t>Asset Number</t>
  </si>
  <si>
    <t>Asset Description</t>
  </si>
  <si>
    <t>Gross Cost (GC) (Rs.)</t>
  </si>
  <si>
    <t>Value Addition (VA) (Rs.)</t>
  </si>
  <si>
    <t>Value Reduction (VR) (Rs.)</t>
  </si>
  <si>
    <t>GC+VA-VR
(Rs.)</t>
  </si>
  <si>
    <t>SPLIT CASING FIRE PUMP</t>
  </si>
  <si>
    <t>Statutory</t>
  </si>
  <si>
    <t>NUMERICAL BUS BAR PROTECTION RELAY 110KV</t>
  </si>
  <si>
    <t>Comp. Allowance</t>
  </si>
  <si>
    <t>NUMERICAL BUS BAR PROTECTION RELAY 220KV</t>
  </si>
  <si>
    <t>DIGITAL REGULATION PANEL</t>
  </si>
  <si>
    <t>SPLIT AIRCONDITIONER</t>
  </si>
  <si>
    <t xml:space="preserve">DOT PRINT (2 Nos.) &amp; LASER PRINTER </t>
  </si>
  <si>
    <t>440 LINES EPABX EXCHANGE INC UPS</t>
  </si>
  <si>
    <t>REFREGERATOR</t>
  </si>
  <si>
    <t>REFREGERATORS FROST FREE  (2 Nos.)</t>
  </si>
  <si>
    <t>DEEP FREEZER</t>
  </si>
  <si>
    <t>SERVER DVD DRIVER ANTIVIRUS</t>
  </si>
  <si>
    <t>INTEL P4 COMPUTERS (29 Nos.)</t>
  </si>
  <si>
    <t>50" (127 cm) PLASMA DISPLAY PANEL</t>
  </si>
  <si>
    <t>17" TFT MONITER</t>
  </si>
  <si>
    <t>HOT COLD WATER DISPENSERS (6 Nos.)</t>
  </si>
  <si>
    <t>EPSON PRINTER (10 Nos.)</t>
  </si>
  <si>
    <t>HP LASERJET P2014 PRINTER (15 Nos.)</t>
  </si>
  <si>
    <t>DIGITAL AUTOMATIC KARL FISCHER TITRATOR</t>
  </si>
  <si>
    <t>PORTABLE FLUE GAS ANALYSER</t>
  </si>
  <si>
    <t>0.6 KVA UPS (51 Nos.)</t>
  </si>
  <si>
    <t>PLASTIC CHAIR (30 Nos.)</t>
  </si>
  <si>
    <t>Automatic Medium Velocity Water Spray System</t>
  </si>
  <si>
    <t>Burner Management System</t>
  </si>
  <si>
    <t>Justification Attached</t>
  </si>
  <si>
    <t>One digital photocopier</t>
  </si>
  <si>
    <t>Total for Comp allowance</t>
  </si>
  <si>
    <t>Total for others</t>
  </si>
  <si>
    <t>Capital Additions in the Year 2010-11</t>
  </si>
  <si>
    <t>/d</t>
  </si>
  <si>
    <t>t</t>
  </si>
  <si>
    <t>comm_date</t>
  </si>
  <si>
    <t>Gross Cost (GC)
(Rs.)</t>
  </si>
  <si>
    <t>PORTABLE MOBILE TUBE TYPE OIL SKIMMER</t>
  </si>
  <si>
    <t>C</t>
  </si>
  <si>
    <t>VERTICAL CIRCULATING WATER PUMP</t>
  </si>
  <si>
    <t>KSB BOILER FEED PUMP MODEL HGC 4/12</t>
  </si>
  <si>
    <t>22-11-2010</t>
  </si>
  <si>
    <t>145KVA CURRENT TRANSFORMERS (3 Nos.)</t>
  </si>
  <si>
    <t>145KVA TRANSFORMERS (3 Nos.)</t>
  </si>
  <si>
    <t>145KVA TRANSFORMERS  (3 Nos.)</t>
  </si>
  <si>
    <t>17-04-2010</t>
  </si>
  <si>
    <t>29-04-2010</t>
  </si>
  <si>
    <t>16-06-2010</t>
  </si>
  <si>
    <t>19-06-2010</t>
  </si>
  <si>
    <t>23-06-2010</t>
  </si>
  <si>
    <t>NUMERICAL PROTECTION RELAY 220KV</t>
  </si>
  <si>
    <t>23-04-2010</t>
  </si>
  <si>
    <t>NUMERICAL PROTECTION 220KV</t>
  </si>
  <si>
    <t>20-06-2010</t>
  </si>
  <si>
    <t>17-07-2010</t>
  </si>
  <si>
    <t>22-07-2010</t>
  </si>
  <si>
    <t>NUMERICAL PROTECTION</t>
  </si>
  <si>
    <t>26-07-2010</t>
  </si>
  <si>
    <t>29-07-2010</t>
  </si>
  <si>
    <t>NUMERICAL PROTECTION 110KV</t>
  </si>
  <si>
    <t>21-08-2010</t>
  </si>
  <si>
    <t>26-08-2010</t>
  </si>
  <si>
    <t>28-08-2010</t>
  </si>
  <si>
    <t>31-08-2010</t>
  </si>
  <si>
    <t>50" PLASMA DISPLAY PANEL</t>
  </si>
  <si>
    <t>HYDROGEN LEAK DETECTOR SYSTEM</t>
  </si>
  <si>
    <t>SUPPLYING &amp; FABRICATING OF MCB TABLE WITH ACCESSORIES</t>
  </si>
  <si>
    <t>EXECUTIVE TABLE SIZE 1800MM X 900MM X 750MM</t>
  </si>
  <si>
    <t>EXECUTIVE SIDE RETURN TABLE</t>
  </si>
  <si>
    <t>STORAGE UNIT 800MM X 390MM X 1800MM</t>
  </si>
  <si>
    <t>HIGH BACK CHAIR DOUBLE LAYERED</t>
  </si>
  <si>
    <t>HIGH BACK CHAIR  (38 Nos.)</t>
  </si>
  <si>
    <t>FORCE AMBULANCE</t>
  </si>
  <si>
    <t>25-10-2010</t>
  </si>
  <si>
    <t>1.5TR WINDOW TYPE ROOM AIRCONDITIONERS (9 Nos.)</t>
  </si>
  <si>
    <t>27-04-2010</t>
  </si>
  <si>
    <t>SPLIT AIRCONDITIONERS (6 Nos.)</t>
  </si>
  <si>
    <t>LCD PROJECTOR2000 ANSILUMENS-MAKESANYO PLC-XW60-1</t>
  </si>
  <si>
    <t>14-06-2010</t>
  </si>
  <si>
    <t>HANDY CAM-MODEL NO:DCR-SR68E WITH LCS-X10(MAKESONY)</t>
  </si>
  <si>
    <t>26-06-2010</t>
  </si>
  <si>
    <t>FAX MACHINES (3 Nos.)</t>
  </si>
  <si>
    <t>35PC BUY BACK 1 RUPEE EACH</t>
  </si>
  <si>
    <t>WATER BUBBLE TOP DISPENSER (6 Nos.)</t>
  </si>
  <si>
    <t>MICRO PROCESSOR BASED PH METER</t>
  </si>
  <si>
    <t>MOBILE PEDESTAL 390MM X 560MM X 560MM</t>
  </si>
  <si>
    <t>JOINING TABLE 122MM X 750MM</t>
  </si>
  <si>
    <t>LOW BACK CHAIR (4 Nos.)</t>
  </si>
  <si>
    <t>LEP UNIT-I</t>
  </si>
  <si>
    <t>L.E.P.UNIT-IX</t>
  </si>
  <si>
    <t>L.E.P.UNIT-II</t>
  </si>
  <si>
    <t>L.E.P.UNIT-VIII</t>
  </si>
  <si>
    <t>L.E.P./UNIT IV</t>
  </si>
  <si>
    <t>L.E.P.UNIT-VII</t>
  </si>
  <si>
    <t>LEP UNIT NO III</t>
  </si>
  <si>
    <t>LEP UNIT NO V</t>
  </si>
  <si>
    <t>LEP UNIT VI</t>
  </si>
  <si>
    <t>Capital Additions in the Year 2011-12</t>
  </si>
  <si>
    <t>/dv</t>
  </si>
  <si>
    <t>st</t>
  </si>
  <si>
    <t>4 WHEELER BATTERY OPERATED TROLLY</t>
  </si>
  <si>
    <t>FOUR WHEELER BATTERY TROLLEY</t>
  </si>
  <si>
    <t>19-11-2011</t>
  </si>
  <si>
    <t>THIN CLIENT (10 Nos.)</t>
  </si>
  <si>
    <t>0.6 KVA UPS (6 Nos.)</t>
  </si>
  <si>
    <t xml:space="preserve"> THIN CLIENT (16 Nos.)</t>
  </si>
  <si>
    <t>0.6 KVA UPS (10 Nos.)</t>
  </si>
  <si>
    <t>PERSONAL COMPUTER (15 Nos.)</t>
  </si>
  <si>
    <t>22-11-2011</t>
  </si>
  <si>
    <t>NOTE BOOK PC (2 Nos.)</t>
  </si>
  <si>
    <t>HP PLOTTER 5500-42"</t>
  </si>
  <si>
    <t>HP LASERJET 1020</t>
  </si>
  <si>
    <t>HP LASERJET 1320</t>
  </si>
  <si>
    <t>HP LASERJET 5200TN</t>
  </si>
  <si>
    <t>1.5 LTR WINDOW ROOM AC (10 Nos.)</t>
  </si>
  <si>
    <t>BAJAJ 35 LTR STORAGE WATER HEATER</t>
  </si>
  <si>
    <t>STACK MONITORING KIT (2 Nos.)</t>
  </si>
  <si>
    <t>HOT AIR OVEN (2 Nos.)</t>
  </si>
  <si>
    <t>26-03-2012</t>
  </si>
  <si>
    <t>MOTOROLA XTL1500 FIXEDSTATION-1 MTX960WALKIE TAL20</t>
  </si>
  <si>
    <t>27-05-2011</t>
  </si>
  <si>
    <t>MOTOROLA T5720 8KMS WALKIE TAKIE</t>
  </si>
  <si>
    <t>29-09-2011</t>
  </si>
  <si>
    <t>Capital Additions in the Year 2012-13</t>
  </si>
  <si>
    <t>SI.No</t>
  </si>
  <si>
    <t>AUTOMATIC CAPA.TAN DELTA MEASURING TEST KIT</t>
  </si>
  <si>
    <t>22-10-2012</t>
  </si>
  <si>
    <t>3.3KV 1000KVA TRANSFORMER</t>
  </si>
  <si>
    <t>29-01-2013</t>
  </si>
  <si>
    <t>13-02-2013</t>
  </si>
  <si>
    <t>CONTROL PANEL FOR COOLING TOWER FANS (2 Nos.)</t>
  </si>
  <si>
    <t>17-01-2013</t>
  </si>
  <si>
    <t>FLOAT CUM BOOST CHARGER</t>
  </si>
  <si>
    <t>24-05-2012</t>
  </si>
  <si>
    <t>20-06-2012</t>
  </si>
  <si>
    <t>21-05-2012</t>
  </si>
  <si>
    <t>7.5 T CAP.ELECTRIC WIRE ROPE HOIST-MOTORISED TROLLY</t>
  </si>
  <si>
    <t>23-02-2013</t>
  </si>
  <si>
    <t>PAN MIXER FOR MIXING REFRAC.CASTABLES 100 LTR</t>
  </si>
  <si>
    <t>VIBRATION ANALYZER CUM BALANCER</t>
  </si>
  <si>
    <t>21-09-2012</t>
  </si>
  <si>
    <t>TVSE 250 STAR 80 CL TO AC</t>
  </si>
  <si>
    <t>SF6 GAS MTCE UNIT.INCL STORAGE TANK,COMPRESSOR</t>
  </si>
  <si>
    <t>28-09-2012</t>
  </si>
  <si>
    <t>HIGH MAST LIGHTING TOWERS (3 Nos.)</t>
  </si>
  <si>
    <t>PORTABLE VACCUM CLEANER (3 Nos.)</t>
  </si>
  <si>
    <t>23-03-2012</t>
  </si>
  <si>
    <t>DIGITAL PHOTOCOPIER</t>
  </si>
  <si>
    <t>13-07-2012</t>
  </si>
  <si>
    <t>PC (3Nos) MULTIFUNCTION PRINTER (1 No.) WEBCAMERA (2 Nos)</t>
  </si>
  <si>
    <t>HB LASERJET P2035 PRINTER</t>
  </si>
  <si>
    <t>LCD PROJECTOR (2 Nos.)</t>
  </si>
  <si>
    <t>14-02-2013</t>
  </si>
  <si>
    <t>LCD PROJECTOR</t>
  </si>
  <si>
    <t>DIGITAL PH METER (2 Nos.)</t>
  </si>
  <si>
    <t>ELECTRICALLY HEATED MUFFLE FURNACE (2 Nos.)</t>
  </si>
  <si>
    <t>25-09-2012</t>
  </si>
  <si>
    <t>ELECTRONIC ANALYTICAL BALANCE</t>
  </si>
  <si>
    <t>HEAVY DUTY TRICYCLE (5 Nos.)</t>
  </si>
  <si>
    <t>15-02-2013</t>
  </si>
  <si>
    <t>MECHANICAL FOAM FIRE EXTINGUISHERS</t>
  </si>
  <si>
    <t>PLASTIC MOULDED SINGLE CHAIR (60 Nos.)</t>
  </si>
  <si>
    <t>20-11-2012</t>
  </si>
  <si>
    <t>WARE HOUSE CONS</t>
  </si>
  <si>
    <t>Capital Additions in the Year 2013-14</t>
  </si>
  <si>
    <t>Sch</t>
  </si>
  <si>
    <t>Division</t>
  </si>
  <si>
    <t>Dep-rate</t>
  </si>
  <si>
    <t>Dep-OB</t>
  </si>
  <si>
    <t>CY-Normal</t>
  </si>
  <si>
    <t>CY-PPT</t>
  </si>
  <si>
    <t>SUBMERSIBLE DEWATERING Pump 3 HP Motor</t>
  </si>
  <si>
    <t>20-04-2013</t>
  </si>
  <si>
    <t>SUBMERSIBLE DEWATERING Pump 5 HP Motor</t>
  </si>
  <si>
    <t>KIRLOSKAR MAKE-PRIMING</t>
  </si>
  <si>
    <t>25-03-2014</t>
  </si>
  <si>
    <t>KIRLOSKAR MAKE -PRIMIN</t>
  </si>
  <si>
    <t>28-03-2014</t>
  </si>
  <si>
    <t>33KV MINE 2 FEEDER GE</t>
  </si>
  <si>
    <t>18-01-2013</t>
  </si>
  <si>
    <t>33KV MINE 1 FEEDER - G</t>
  </si>
  <si>
    <t>19-01-2013</t>
  </si>
  <si>
    <t>33KV MINE 4 FEEDER - G</t>
  </si>
  <si>
    <t>33KV MINE 4 FEEDER(1SE</t>
  </si>
  <si>
    <t>33KV TOWNSHIP I FEEDER</t>
  </si>
  <si>
    <t>21-01-2013</t>
  </si>
  <si>
    <t>33KV TOWNSHIP II FEEDE</t>
  </si>
  <si>
    <t>22-01-2013</t>
  </si>
  <si>
    <t>33KV BAR COUPLER - GE</t>
  </si>
  <si>
    <t>33KV NUMERICAL BUS BAR</t>
  </si>
  <si>
    <t>13-04-2013</t>
  </si>
  <si>
    <t>33KV MINE 6 FEEDER - G</t>
  </si>
  <si>
    <t>19-12-2012</t>
  </si>
  <si>
    <t>33KV NSU I FEEDER - GE</t>
  </si>
  <si>
    <t>22-12-2012</t>
  </si>
  <si>
    <t>33KV NSU II FEEDER - G</t>
  </si>
  <si>
    <t>20-12-2012</t>
  </si>
  <si>
    <t>33KV MINE 7 FEEDER GE</t>
  </si>
  <si>
    <t>26-12-2012</t>
  </si>
  <si>
    <t>33KV MINE 8 FEEDER GE</t>
  </si>
  <si>
    <t>29-12-2012</t>
  </si>
  <si>
    <t>33KV MINE 5 FEEDER GE</t>
  </si>
  <si>
    <t>33KV MINE 3 FEEDER GE</t>
  </si>
  <si>
    <t>ELECTRIC LAWN MOVER 1</t>
  </si>
  <si>
    <t>AIR HANDLING UNIT 30 T</t>
  </si>
  <si>
    <t>26-04-2013</t>
  </si>
  <si>
    <t>AIR HANDLING UNIT 30TR</t>
  </si>
  <si>
    <t>30-04-2013</t>
  </si>
  <si>
    <t>18-05-2013</t>
  </si>
  <si>
    <t>1.5TR CAP.WINDOW TYPE Room Acs</t>
  </si>
  <si>
    <t>WATER DISPENSER - 2NOS</t>
  </si>
  <si>
    <t>ABT CLIENT STATIONS With accessories</t>
  </si>
  <si>
    <t>16-07-2013</t>
  </si>
  <si>
    <t>1.5TR WINDOW TYPE ROOM</t>
  </si>
  <si>
    <r>
      <rPr>
        <b/>
        <sz val="10"/>
        <rFont val="Times New Roman"/>
        <family val="1"/>
      </rPr>
      <t>Annexure-XIX</t>
    </r>
  </si>
  <si>
    <t>Name of the Utility : NLC INDIA LIMITED</t>
  </si>
  <si>
    <t>Name of the Generating Station: THERMAL POWER STATION - I</t>
  </si>
  <si>
    <t>Station/ Stage/ Unit: ---</t>
  </si>
  <si>
    <t>Fuel Type (Coal/ Lignite/ Gas/ Liquid Fuel/ Nuclear/ Hydro: Lignite</t>
  </si>
  <si>
    <t>Capacity of Plant (MW) : 600 MW</t>
  </si>
  <si>
    <t>COD: U1(50MW):23/05/1962; U2(50MW):23/01/1963; U3(50MW):11/06/1963; U5(50MW):29/04/1964; U6(50MW):24/08/1965; U7(100MW):28/03/1967; U8(100MW):12/02/1969; U9(100MW):21/02/1970</t>
  </si>
  <si>
    <t>2004-05</t>
  </si>
  <si>
    <t>2005-06</t>
  </si>
  <si>
    <t>2006-07</t>
  </si>
  <si>
    <t>2007-08</t>
  </si>
  <si>
    <t>2008-09</t>
  </si>
  <si>
    <t>2010-11</t>
  </si>
  <si>
    <t>2011-12</t>
  </si>
  <si>
    <t>Plant Availability Factor (PAF) (%)</t>
  </si>
  <si>
    <t>Plant Load Factors (PLF) (%)</t>
  </si>
  <si>
    <t>Scheduled Energy (MU)</t>
  </si>
  <si>
    <t>Scheduled Generation (MU)</t>
  </si>
  <si>
    <t>Actual Generation (MU)</t>
  </si>
  <si>
    <t>Quantum of coal consumption (Tonnes)</t>
  </si>
  <si>
    <t>Value of coal (Rs. Lakh)</t>
  </si>
  <si>
    <t>Specific Coal Consumption (kg/kwh)</t>
  </si>
  <si>
    <t>Gross Calorific Value of Coal(Kcal/ Kg)</t>
  </si>
  <si>
    <t>Heat Contribution of Coal (Kcal/kwh)</t>
  </si>
  <si>
    <t>Cost Of Specific Coal Consumption (Rs./Kwh) –Finally admitted by CERC</t>
  </si>
  <si>
    <t>Quantum of Oil Consumption (KL)</t>
  </si>
  <si>
    <t>Value of Oil (Rs. lakh)</t>
  </si>
  <si>
    <t>Gross calorific value of oil (kcal/lit)</t>
  </si>
  <si>
    <t>Specific Oil Consumption (ml/kwh)</t>
  </si>
  <si>
    <t>Cost Of Specific Oil Consumption (Rs./Kwh) – Finally admitted by CERC</t>
  </si>
  <si>
    <t>Heat Contribution of Oil (Kcal/kwh)</t>
  </si>
  <si>
    <t>Station Heat Rate (kcal/kwh)</t>
  </si>
  <si>
    <t>Auxiliary Energy Consumption (%)</t>
  </si>
  <si>
    <t>Debt at the end of the year (Rs. Crore)</t>
  </si>
  <si>
    <t>Equity/IR (Rs. Crore)</t>
  </si>
  <si>
    <t>Working Capital (Rs. Crore) –finally admitted by CERC</t>
  </si>
  <si>
    <t>Capital cost (Rs. Crore) – finally admitted by CERC</t>
  </si>
  <si>
    <t>Capacity Charges/ Annual Fixed Cost (AFC)</t>
  </si>
  <si>
    <t>(a) Return on equity – pre tax (admitted by CERC)</t>
  </si>
  <si>
    <t>Absolute value</t>
  </si>
  <si>
    <t>Rate (%)</t>
  </si>
  <si>
    <t>(b) interest on Loan</t>
  </si>
  <si>
    <t>Rate (%) – Weighted Average Rate</t>
  </si>
  <si>
    <t>(c) Depreciation (finally allowed by CERC)</t>
  </si>
  <si>
    <t>(d) Interest on working Capital</t>
  </si>
  <si>
    <t>(e) Operation and maintenance cost (finally admitted by CERC)</t>
  </si>
  <si>
    <t>(f) Compensation Allowances</t>
  </si>
  <si>
    <t>AFC (Rs. Kwh0</t>
  </si>
  <si>
    <t>Energy Charge (Rs./Kwh)</t>
  </si>
  <si>
    <t>Total tariff (Rs. Kwh)</t>
  </si>
  <si>
    <t>Revenue realisation before tax (Rs. Crore)</t>
  </si>
  <si>
    <t>Revenue realisation after tax (Rs. Crore)</t>
  </si>
  <si>
    <t>Profit/ loss (Rs. Crore0</t>
  </si>
  <si>
    <t>DSM Generation (MU)</t>
  </si>
  <si>
    <t>DSM Rate (Ps/Kwh)</t>
  </si>
  <si>
    <t>Revenue from DSM (Rs. Crore)</t>
  </si>
  <si>
    <t>Note:</t>
  </si>
  <si>
    <t>Thrermal Power Station - I is under ABT regime from the Year 2007-08 only. Hence data pertaining to ABT is Not applicable for th peiod 2004-05 to 2006-07.
Lignite consumption is given in Tonnes and Oil consumption in KL</t>
  </si>
  <si>
    <r>
      <rPr>
        <i/>
        <sz val="10"/>
        <rFont val="Times New Roman"/>
        <family val="1"/>
      </rPr>
      <t>Note: Generating Companies are required to submit data for all generating stations.</t>
    </r>
  </si>
  <si>
    <r>
      <rPr>
        <i/>
        <sz val="10"/>
        <rFont val="Times New Roman"/>
        <family val="1"/>
      </rPr>
      <t>This is a general format. Plants of different fuel users have to fill the cells as applicable to them. Tariff for the Hydro may be understood as composite tariff.</t>
    </r>
  </si>
  <si>
    <r>
      <rPr>
        <i/>
        <sz val="10"/>
        <rFont val="Times New Roman"/>
        <family val="1"/>
      </rPr>
      <t>The data provided for the corresponding years need to mention as Actual or provisional.</t>
    </r>
  </si>
  <si>
    <r>
      <rPr>
        <i/>
        <sz val="10"/>
        <rFont val="Times New Roman"/>
        <family val="1"/>
      </rPr>
      <t>Data for each Unit and Stage is required to be submitted in additional sheets as per the format.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</si>
</sst>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 * #,##0.00_ ;_ * \-#,##0.00_ ;_ * &quot;-&quot;??_ ;_ @_ "/>
    <numFmt numFmtId="164" formatCode="_-* #,##0.00_-;\-* #,##0.00_-;_-* &quot;-&quot;??_-;_-@_-"/>
    <numFmt numFmtId="165" formatCode="###0;###0"/>
    <numFmt numFmtId="166" formatCode="###0.0;###0.0"/>
    <numFmt numFmtId="167" formatCode="###0.;###0."/>
    <numFmt numFmtId="168" formatCode="yy\.m\.d;@"/>
    <numFmt numFmtId="169" formatCode="_-* #,##0_-;\-* #,##0_-;_-* &quot;-&quot;??_-;_-@_-"/>
    <numFmt numFmtId="170" formatCode="0.0000"/>
    <numFmt numFmtId="171" formatCode="0.000000"/>
    <numFmt numFmtId="172" formatCode="0.000"/>
    <numFmt numFmtId="173" formatCode="_ * #,##0_ ;_ * \-#,##0_ ;_ * &quot;-&quot;??_ ;_ @_ "/>
    <numFmt numFmtId="174" formatCode="_(* #,##0.00_);_(* \(#,##0.00\);_(* &quot;-&quot;??_);_(@_)"/>
    <numFmt numFmtId="175" formatCode="0.00;[Red]0.00"/>
    <numFmt numFmtId="176" formatCode="0;[Red]0"/>
    <numFmt numFmtId="177" formatCode="[$-14009]dd/mm/yyyy;@"/>
  </numFmts>
  <fonts count="63">
    <font>
      <sz val="10"/>
      <color rgb="FF000000"/>
      <name val="Times New Roman"/>
      <charset val="204"/>
    </font>
    <font>
      <vertAlign val="superscript"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0"/>
      <name val="Arial"/>
      <family val="34"/>
    </font>
    <font>
      <b/>
      <sz val="9"/>
      <name val="Calibri"/>
      <family val="34"/>
    </font>
    <font>
      <b/>
      <sz val="9"/>
      <name val="Century Gothic"/>
      <family val="34"/>
    </font>
    <font>
      <sz val="9"/>
      <name val="Century Gothic"/>
      <family val="34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2"/>
      <name val="Arial"/>
      <family val="34"/>
    </font>
    <font>
      <sz val="12"/>
      <name val="Arial"/>
      <family val="34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charset val="204"/>
    </font>
    <font>
      <i/>
      <sz val="11"/>
      <color rgb="FF000000"/>
      <name val="Times New Roman"/>
      <family val="1"/>
    </font>
    <font>
      <i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  <scheme val="minor"/>
    </font>
    <font>
      <b/>
      <sz val="9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 tint="0.14999847407452621"/>
      <name val="Times New Roman"/>
      <family val="1"/>
    </font>
    <font>
      <b/>
      <sz val="9"/>
      <color rgb="FF000000"/>
      <name val="Times New Roman"/>
      <family val="1"/>
    </font>
    <font>
      <i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642"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right" vertical="center" wrapText="1"/>
    </xf>
    <xf numFmtId="0" fontId="3" fillId="2" borderId="8" xfId="0" quotePrefix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2" fontId="5" fillId="2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top" wrapText="1"/>
    </xf>
    <xf numFmtId="1" fontId="3" fillId="0" borderId="23" xfId="1" applyNumberFormat="1" applyFont="1" applyFill="1" applyBorder="1" applyAlignment="1">
      <alignment horizontal="center" vertical="top" wrapText="1"/>
    </xf>
    <xf numFmtId="1" fontId="3" fillId="0" borderId="16" xfId="1" applyNumberFormat="1" applyFont="1" applyFill="1" applyBorder="1" applyAlignment="1">
      <alignment horizontal="center" vertical="top" wrapText="1"/>
    </xf>
    <xf numFmtId="1" fontId="3" fillId="0" borderId="17" xfId="1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169" fontId="3" fillId="2" borderId="8" xfId="1" applyNumberFormat="1" applyFont="1" applyFill="1" applyBorder="1" applyAlignment="1">
      <alignment horizontal="right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/>
    </xf>
    <xf numFmtId="166" fontId="3" fillId="2" borderId="12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7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70" fontId="3" fillId="2" borderId="0" xfId="0" applyNumberFormat="1" applyFont="1" applyFill="1" applyBorder="1" applyAlignment="1">
      <alignment horizontal="left" vertical="center"/>
    </xf>
    <xf numFmtId="1" fontId="0" fillId="0" borderId="0" xfId="0" applyNumberFormat="1"/>
    <xf numFmtId="171" fontId="0" fillId="0" borderId="0" xfId="0" applyNumberFormat="1"/>
    <xf numFmtId="1" fontId="12" fillId="2" borderId="8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9" fontId="3" fillId="0" borderId="8" xfId="1" applyNumberFormat="1" applyFont="1" applyFill="1" applyBorder="1" applyAlignment="1">
      <alignment horizontal="center" vertical="top" wrapText="1"/>
    </xf>
    <xf numFmtId="169" fontId="3" fillId="0" borderId="8" xfId="0" applyNumberFormat="1" applyFont="1" applyFill="1" applyBorder="1" applyAlignment="1">
      <alignment horizontal="center" vertical="top" wrapText="1"/>
    </xf>
    <xf numFmtId="169" fontId="3" fillId="0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172" fontId="14" fillId="2" borderId="1" xfId="0" applyNumberFormat="1" applyFont="1" applyFill="1" applyBorder="1" applyAlignment="1">
      <alignment horizontal="right" vertical="top" wrapText="1"/>
    </xf>
    <xf numFmtId="172" fontId="18" fillId="2" borderId="1" xfId="0" applyNumberFormat="1" applyFont="1" applyFill="1" applyBorder="1" applyAlignment="1">
      <alignment horizontal="right" vertical="top" wrapText="1"/>
    </xf>
    <xf numFmtId="172" fontId="18" fillId="3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8" fillId="2" borderId="8" xfId="0" applyFont="1" applyFill="1" applyBorder="1" applyAlignment="1">
      <alignment horizontal="left" vertical="top" wrapText="1"/>
    </xf>
    <xf numFmtId="172" fontId="14" fillId="2" borderId="2" xfId="0" applyNumberFormat="1" applyFont="1" applyFill="1" applyBorder="1" applyAlignment="1">
      <alignment horizontal="right" vertical="top" wrapText="1"/>
    </xf>
    <xf numFmtId="172" fontId="18" fillId="3" borderId="2" xfId="0" applyNumberFormat="1" applyFont="1" applyFill="1" applyBorder="1" applyAlignment="1">
      <alignment horizontal="righ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0" fillId="2" borderId="0" xfId="0" applyNumberForma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5" fontId="14" fillId="2" borderId="8" xfId="0" applyNumberFormat="1" applyFont="1" applyFill="1" applyBorder="1" applyAlignment="1">
      <alignment horizontal="center" vertical="top" wrapText="1"/>
    </xf>
    <xf numFmtId="165" fontId="14" fillId="2" borderId="8" xfId="0" applyNumberFormat="1" applyFont="1" applyFill="1" applyBorder="1" applyAlignment="1">
      <alignment horizontal="center" wrapText="1"/>
    </xf>
    <xf numFmtId="165" fontId="14" fillId="2" borderId="8" xfId="0" applyNumberFormat="1" applyFont="1" applyFill="1" applyBorder="1" applyAlignment="1">
      <alignment horizontal="center" vertical="center" wrapText="1"/>
    </xf>
    <xf numFmtId="0" fontId="14" fillId="2" borderId="8" xfId="0" quotePrefix="1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right" vertical="top" wrapText="1"/>
    </xf>
    <xf numFmtId="167" fontId="14" fillId="2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top"/>
    </xf>
    <xf numFmtId="0" fontId="30" fillId="2" borderId="8" xfId="0" applyFont="1" applyFill="1" applyBorder="1" applyAlignment="1">
      <alignment horizontal="center" vertical="top" wrapText="1"/>
    </xf>
    <xf numFmtId="0" fontId="30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left" vertical="top" wrapText="1"/>
    </xf>
    <xf numFmtId="14" fontId="14" fillId="4" borderId="8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center" wrapText="1"/>
    </xf>
    <xf numFmtId="1" fontId="29" fillId="2" borderId="8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18" fillId="4" borderId="0" xfId="0" applyFont="1" applyFill="1" applyBorder="1" applyAlignment="1">
      <alignment vertical="top" wrapText="1"/>
    </xf>
    <xf numFmtId="0" fontId="29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left" vertical="top"/>
    </xf>
    <xf numFmtId="0" fontId="31" fillId="2" borderId="8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2" borderId="0" xfId="0" applyFont="1" applyFill="1" applyBorder="1" applyAlignment="1">
      <alignment horizontal="left" vertical="top"/>
    </xf>
    <xf numFmtId="169" fontId="31" fillId="2" borderId="8" xfId="1" applyNumberFormat="1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right" vertical="top" wrapText="1"/>
    </xf>
    <xf numFmtId="1" fontId="31" fillId="2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10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/>
    </xf>
    <xf numFmtId="43" fontId="3" fillId="0" borderId="8" xfId="1" applyNumberFormat="1" applyFont="1" applyFill="1" applyBorder="1" applyAlignment="1">
      <alignment horizontal="left" vertical="top"/>
    </xf>
    <xf numFmtId="173" fontId="3" fillId="0" borderId="8" xfId="1" applyNumberFormat="1" applyFont="1" applyFill="1" applyBorder="1" applyAlignment="1">
      <alignment horizontal="left" vertical="top"/>
    </xf>
    <xf numFmtId="43" fontId="3" fillId="0" borderId="0" xfId="0" applyNumberFormat="1" applyFont="1" applyFill="1" applyBorder="1" applyAlignment="1">
      <alignment horizontal="left" vertical="top"/>
    </xf>
    <xf numFmtId="166" fontId="3" fillId="0" borderId="8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left" vertical="top"/>
    </xf>
    <xf numFmtId="43" fontId="34" fillId="0" borderId="8" xfId="1" applyNumberFormat="1" applyFont="1" applyFill="1" applyBorder="1" applyAlignment="1">
      <alignment horizontal="left" vertical="top"/>
    </xf>
    <xf numFmtId="165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43" fontId="10" fillId="0" borderId="8" xfId="1" applyNumberFormat="1" applyFont="1" applyFill="1" applyBorder="1" applyAlignment="1">
      <alignment horizontal="left" vertical="top"/>
    </xf>
    <xf numFmtId="165" fontId="3" fillId="0" borderId="8" xfId="0" quotePrefix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top"/>
    </xf>
    <xf numFmtId="10" fontId="3" fillId="0" borderId="8" xfId="2" applyNumberFormat="1" applyFont="1" applyFill="1" applyBorder="1" applyAlignment="1">
      <alignment vertical="top"/>
    </xf>
    <xf numFmtId="43" fontId="3" fillId="0" borderId="8" xfId="2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top"/>
    </xf>
    <xf numFmtId="43" fontId="3" fillId="3" borderId="0" xfId="1" applyNumberFormat="1" applyFont="1" applyFill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0" fontId="10" fillId="0" borderId="8" xfId="0" applyFont="1" applyFill="1" applyBorder="1" applyAlignment="1">
      <alignment horizontal="center" vertical="top"/>
    </xf>
    <xf numFmtId="43" fontId="3" fillId="0" borderId="8" xfId="0" applyNumberFormat="1" applyFont="1" applyFill="1" applyBorder="1" applyAlignment="1">
      <alignment horizontal="left" vertical="top"/>
    </xf>
    <xf numFmtId="43" fontId="10" fillId="0" borderId="8" xfId="0" applyNumberFormat="1" applyFont="1" applyFill="1" applyBorder="1" applyAlignment="1">
      <alignment horizontal="left" vertical="top"/>
    </xf>
    <xf numFmtId="43" fontId="3" fillId="0" borderId="8" xfId="1" applyNumberFormat="1" applyFont="1" applyFill="1" applyBorder="1" applyAlignment="1">
      <alignment horizontal="right" vertical="top"/>
    </xf>
    <xf numFmtId="0" fontId="38" fillId="0" borderId="0" xfId="3"/>
    <xf numFmtId="0" fontId="40" fillId="0" borderId="30" xfId="3" applyFont="1" applyBorder="1" applyAlignment="1">
      <alignment wrapText="1"/>
    </xf>
    <xf numFmtId="0" fontId="41" fillId="0" borderId="31" xfId="3" applyFont="1" applyBorder="1" applyAlignment="1">
      <alignment wrapText="1"/>
    </xf>
    <xf numFmtId="0" fontId="42" fillId="0" borderId="32" xfId="3" applyFont="1" applyBorder="1" applyAlignment="1">
      <alignment horizontal="center" wrapText="1"/>
    </xf>
    <xf numFmtId="0" fontId="41" fillId="0" borderId="35" xfId="3" applyFont="1" applyBorder="1" applyAlignment="1">
      <alignment wrapText="1"/>
    </xf>
    <xf numFmtId="0" fontId="43" fillId="0" borderId="35" xfId="3" applyFont="1" applyBorder="1" applyAlignment="1">
      <alignment wrapText="1"/>
    </xf>
    <xf numFmtId="0" fontId="44" fillId="0" borderId="35" xfId="3" applyFont="1" applyBorder="1" applyAlignment="1">
      <alignment horizontal="center" wrapText="1"/>
    </xf>
    <xf numFmtId="43" fontId="38" fillId="0" borderId="0" xfId="3" applyNumberFormat="1"/>
    <xf numFmtId="0" fontId="3" fillId="2" borderId="0" xfId="3" applyFont="1" applyFill="1" applyBorder="1" applyAlignment="1">
      <alignment horizontal="left" vertical="top"/>
    </xf>
    <xf numFmtId="0" fontId="3" fillId="2" borderId="37" xfId="3" applyFont="1" applyFill="1" applyBorder="1" applyAlignment="1">
      <alignment horizontal="left" vertical="top" wrapText="1"/>
    </xf>
    <xf numFmtId="0" fontId="3" fillId="2" borderId="38" xfId="3" applyFont="1" applyFill="1" applyBorder="1" applyAlignment="1">
      <alignment horizontal="left" vertical="top" wrapText="1"/>
    </xf>
    <xf numFmtId="0" fontId="3" fillId="2" borderId="39" xfId="3" applyFont="1" applyFill="1" applyBorder="1" applyAlignment="1">
      <alignment horizontal="left" vertical="top" wrapText="1"/>
    </xf>
    <xf numFmtId="0" fontId="3" fillId="2" borderId="42" xfId="3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horizontal="left" vertical="top" wrapText="1"/>
    </xf>
    <xf numFmtId="0" fontId="3" fillId="2" borderId="3" xfId="3" applyFont="1" applyFill="1" applyBorder="1" applyAlignment="1">
      <alignment horizontal="left" vertical="top" wrapText="1"/>
    </xf>
    <xf numFmtId="0" fontId="3" fillId="2" borderId="28" xfId="3" applyFont="1" applyFill="1" applyBorder="1" applyAlignment="1">
      <alignment horizontal="left" vertical="top" wrapText="1"/>
    </xf>
    <xf numFmtId="0" fontId="3" fillId="2" borderId="5" xfId="3" applyFont="1" applyFill="1" applyBorder="1" applyAlignment="1">
      <alignment vertical="top" wrapText="1"/>
    </xf>
    <xf numFmtId="0" fontId="3" fillId="2" borderId="5" xfId="3" applyFont="1" applyFill="1" applyBorder="1" applyAlignment="1">
      <alignment horizontal="left" vertical="top" wrapText="1"/>
    </xf>
    <xf numFmtId="0" fontId="3" fillId="2" borderId="27" xfId="3" applyFont="1" applyFill="1" applyBorder="1" applyAlignment="1">
      <alignment horizontal="left" vertical="top" wrapText="1"/>
    </xf>
    <xf numFmtId="0" fontId="3" fillId="2" borderId="43" xfId="3" applyFont="1" applyFill="1" applyBorder="1" applyAlignment="1">
      <alignment horizontal="left" vertical="top" wrapText="1"/>
    </xf>
    <xf numFmtId="0" fontId="3" fillId="2" borderId="40" xfId="3" applyFont="1" applyFill="1" applyBorder="1" applyAlignment="1">
      <alignment horizontal="left" vertical="top" wrapText="1"/>
    </xf>
    <xf numFmtId="0" fontId="3" fillId="2" borderId="8" xfId="3" applyFont="1" applyFill="1" applyBorder="1" applyAlignment="1">
      <alignment vertical="top" wrapText="1"/>
    </xf>
    <xf numFmtId="0" fontId="7" fillId="2" borderId="3" xfId="3" applyFont="1" applyFill="1" applyBorder="1" applyAlignment="1">
      <alignment horizontal="right" vertical="top" wrapText="1"/>
    </xf>
    <xf numFmtId="0" fontId="10" fillId="2" borderId="8" xfId="3" applyFont="1" applyFill="1" applyBorder="1" applyAlignment="1">
      <alignment horizontal="right" vertical="top" wrapText="1"/>
    </xf>
    <xf numFmtId="0" fontId="7" fillId="2" borderId="8" xfId="3" applyFont="1" applyFill="1" applyBorder="1" applyAlignment="1">
      <alignment horizontal="right" vertical="top" wrapText="1"/>
    </xf>
    <xf numFmtId="0" fontId="3" fillId="2" borderId="14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left" vertical="top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44" xfId="3" applyFont="1" applyFill="1" applyBorder="1" applyAlignment="1">
      <alignment horizontal="center" vertical="center" wrapText="1"/>
    </xf>
    <xf numFmtId="165" fontId="3" fillId="2" borderId="42" xfId="3" applyNumberFormat="1" applyFont="1" applyFill="1" applyBorder="1" applyAlignment="1">
      <alignment horizontal="center" vertical="top" wrapText="1"/>
    </xf>
    <xf numFmtId="165" fontId="3" fillId="2" borderId="1" xfId="3" applyNumberFormat="1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165" fontId="3" fillId="2" borderId="1" xfId="3" applyNumberFormat="1" applyFont="1" applyFill="1" applyBorder="1" applyAlignment="1">
      <alignment horizontal="center" vertical="center" wrapText="1"/>
    </xf>
    <xf numFmtId="165" fontId="3" fillId="2" borderId="2" xfId="3" applyNumberFormat="1" applyFont="1" applyFill="1" applyBorder="1" applyAlignment="1">
      <alignment horizontal="center" vertical="center" wrapText="1"/>
    </xf>
    <xf numFmtId="165" fontId="3" fillId="2" borderId="45" xfId="3" applyNumberFormat="1" applyFont="1" applyFill="1" applyBorder="1" applyAlignment="1">
      <alignment horizontal="center" vertical="center" wrapText="1"/>
    </xf>
    <xf numFmtId="0" fontId="10" fillId="2" borderId="42" xfId="3" applyFont="1" applyFill="1" applyBorder="1" applyAlignment="1">
      <alignment horizontal="left" vertical="top" wrapText="1"/>
    </xf>
    <xf numFmtId="0" fontId="10" fillId="2" borderId="2" xfId="3" applyFont="1" applyFill="1" applyBorder="1" applyAlignment="1">
      <alignment horizontal="left" vertical="top" wrapText="1"/>
    </xf>
    <xf numFmtId="0" fontId="10" fillId="2" borderId="3" xfId="3" applyFont="1" applyFill="1" applyBorder="1" applyAlignment="1">
      <alignment horizontal="left" vertical="top" wrapText="1"/>
    </xf>
    <xf numFmtId="0" fontId="10" fillId="2" borderId="41" xfId="3" applyFont="1" applyFill="1" applyBorder="1" applyAlignment="1">
      <alignment horizontal="left" vertical="top" wrapText="1"/>
    </xf>
    <xf numFmtId="0" fontId="3" fillId="5" borderId="1" xfId="3" applyFont="1" applyFill="1" applyBorder="1" applyAlignment="1">
      <alignment horizontal="left" vertical="top" wrapText="1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horizontal="left" vertical="top" wrapText="1"/>
    </xf>
    <xf numFmtId="0" fontId="3" fillId="2" borderId="45" xfId="3" applyFont="1" applyFill="1" applyBorder="1" applyAlignment="1">
      <alignment horizontal="left" vertical="top" wrapText="1"/>
    </xf>
    <xf numFmtId="166" fontId="3" fillId="2" borderId="42" xfId="3" applyNumberFormat="1" applyFont="1" applyFill="1" applyBorder="1" applyAlignment="1">
      <alignment horizontal="left" vertical="top" wrapText="1"/>
    </xf>
    <xf numFmtId="174" fontId="3" fillId="2" borderId="1" xfId="1" applyNumberFormat="1" applyFont="1" applyFill="1" applyBorder="1" applyAlignment="1">
      <alignment horizontal="left" vertical="top" wrapText="1"/>
    </xf>
    <xf numFmtId="174" fontId="3" fillId="2" borderId="2" xfId="1" applyNumberFormat="1" applyFont="1" applyFill="1" applyBorder="1" applyAlignment="1">
      <alignment vertical="top" wrapText="1"/>
    </xf>
    <xf numFmtId="174" fontId="3" fillId="2" borderId="2" xfId="1" applyNumberFormat="1" applyFont="1" applyFill="1" applyBorder="1" applyAlignment="1">
      <alignment horizontal="left" vertical="top" wrapText="1"/>
    </xf>
    <xf numFmtId="174" fontId="3" fillId="2" borderId="45" xfId="1" applyNumberFormat="1" applyFont="1" applyFill="1" applyBorder="1" applyAlignment="1">
      <alignment horizontal="left" vertical="top" wrapText="1"/>
    </xf>
    <xf numFmtId="43" fontId="3" fillId="2" borderId="0" xfId="3" applyNumberFormat="1" applyFont="1" applyFill="1" applyBorder="1" applyAlignment="1">
      <alignment horizontal="left" vertical="top"/>
    </xf>
    <xf numFmtId="174" fontId="3" fillId="2" borderId="0" xfId="3" applyNumberFormat="1" applyFont="1" applyFill="1" applyBorder="1" applyAlignment="1">
      <alignment horizontal="left" vertical="top"/>
    </xf>
    <xf numFmtId="166" fontId="3" fillId="2" borderId="46" xfId="3" applyNumberFormat="1" applyFont="1" applyFill="1" applyBorder="1" applyAlignment="1">
      <alignment horizontal="left" vertical="top" wrapText="1"/>
    </xf>
    <xf numFmtId="0" fontId="3" fillId="5" borderId="12" xfId="3" applyFont="1" applyFill="1" applyBorder="1" applyAlignment="1">
      <alignment horizontal="left" vertical="top" wrapText="1"/>
    </xf>
    <xf numFmtId="174" fontId="3" fillId="2" borderId="12" xfId="1" applyNumberFormat="1" applyFont="1" applyFill="1" applyBorder="1" applyAlignment="1">
      <alignment horizontal="left" vertical="top" wrapText="1"/>
    </xf>
    <xf numFmtId="174" fontId="3" fillId="2" borderId="47" xfId="1" applyNumberFormat="1" applyFont="1" applyFill="1" applyBorder="1" applyAlignment="1">
      <alignment vertical="top" wrapText="1"/>
    </xf>
    <xf numFmtId="174" fontId="3" fillId="2" borderId="5" xfId="1" applyNumberFormat="1" applyFont="1" applyFill="1" applyBorder="1" applyAlignment="1">
      <alignment horizontal="left" vertical="top" wrapText="1"/>
    </xf>
    <xf numFmtId="174" fontId="3" fillId="2" borderId="48" xfId="1" applyNumberFormat="1" applyFont="1" applyFill="1" applyBorder="1" applyAlignment="1">
      <alignment horizontal="left" vertical="top" wrapText="1"/>
    </xf>
    <xf numFmtId="166" fontId="10" fillId="2" borderId="49" xfId="3" applyNumberFormat="1" applyFont="1" applyFill="1" applyBorder="1" applyAlignment="1">
      <alignment horizontal="left" vertical="top" wrapText="1"/>
    </xf>
    <xf numFmtId="0" fontId="7" fillId="6" borderId="50" xfId="3" applyFont="1" applyFill="1" applyBorder="1" applyAlignment="1">
      <alignment horizontal="left" vertical="top" wrapText="1"/>
    </xf>
    <xf numFmtId="174" fontId="10" fillId="2" borderId="50" xfId="1" applyNumberFormat="1" applyFont="1" applyFill="1" applyBorder="1" applyAlignment="1">
      <alignment horizontal="left" vertical="top" wrapText="1"/>
    </xf>
    <xf numFmtId="174" fontId="10" fillId="2" borderId="51" xfId="1" applyNumberFormat="1" applyFont="1" applyFill="1" applyBorder="1" applyAlignment="1">
      <alignment vertical="top" wrapText="1"/>
    </xf>
    <xf numFmtId="0" fontId="10" fillId="2" borderId="0" xfId="3" applyFont="1" applyFill="1" applyBorder="1" applyAlignment="1">
      <alignment horizontal="left" vertical="top" wrapText="1"/>
    </xf>
    <xf numFmtId="0" fontId="10" fillId="2" borderId="0" xfId="3" applyFont="1" applyFill="1" applyBorder="1" applyAlignment="1">
      <alignment horizontal="center" vertical="top" wrapText="1"/>
    </xf>
    <xf numFmtId="165" fontId="3" fillId="2" borderId="52" xfId="3" applyNumberFormat="1" applyFont="1" applyFill="1" applyBorder="1" applyAlignment="1">
      <alignment horizontal="center" vertical="top" wrapText="1"/>
    </xf>
    <xf numFmtId="0" fontId="10" fillId="6" borderId="14" xfId="3" applyFont="1" applyFill="1" applyBorder="1" applyAlignment="1">
      <alignment horizontal="left" vertical="top" wrapText="1"/>
    </xf>
    <xf numFmtId="174" fontId="3" fillId="2" borderId="14" xfId="1" applyNumberFormat="1" applyFont="1" applyFill="1" applyBorder="1" applyAlignment="1">
      <alignment horizontal="left" vertical="top" wrapText="1"/>
    </xf>
    <xf numFmtId="174" fontId="3" fillId="2" borderId="53" xfId="1" applyNumberFormat="1" applyFont="1" applyFill="1" applyBorder="1" applyAlignment="1">
      <alignment vertical="top" wrapText="1"/>
    </xf>
    <xf numFmtId="174" fontId="3" fillId="2" borderId="6" xfId="1" applyNumberFormat="1" applyFont="1" applyFill="1" applyBorder="1" applyAlignment="1">
      <alignment horizontal="left" vertical="top" wrapText="1"/>
    </xf>
    <xf numFmtId="174" fontId="3" fillId="2" borderId="44" xfId="1" applyNumberFormat="1" applyFont="1" applyFill="1" applyBorder="1" applyAlignment="1">
      <alignment horizontal="left" vertical="top" wrapText="1"/>
    </xf>
    <xf numFmtId="0" fontId="3" fillId="6" borderId="1" xfId="3" applyFont="1" applyFill="1" applyBorder="1" applyAlignment="1">
      <alignment horizontal="left" vertical="top" wrapText="1"/>
    </xf>
    <xf numFmtId="174" fontId="3" fillId="0" borderId="1" xfId="1" applyNumberFormat="1" applyFont="1" applyFill="1" applyBorder="1" applyAlignment="1">
      <alignment horizontal="left" vertical="top" wrapText="1"/>
    </xf>
    <xf numFmtId="174" fontId="3" fillId="3" borderId="1" xfId="1" applyNumberFormat="1" applyFont="1" applyFill="1" applyBorder="1" applyAlignment="1">
      <alignment horizontal="left" vertical="top" wrapText="1"/>
    </xf>
    <xf numFmtId="0" fontId="7" fillId="6" borderId="49" xfId="3" applyFont="1" applyFill="1" applyBorder="1" applyAlignment="1">
      <alignment horizontal="left" vertical="top" wrapText="1"/>
    </xf>
    <xf numFmtId="174" fontId="10" fillId="2" borderId="51" xfId="1" applyNumberFormat="1" applyFont="1" applyFill="1" applyBorder="1" applyAlignment="1">
      <alignment horizontal="center" vertical="top" wrapText="1"/>
    </xf>
    <xf numFmtId="174" fontId="10" fillId="2" borderId="54" xfId="1" applyNumberFormat="1" applyFont="1" applyFill="1" applyBorder="1" applyAlignment="1">
      <alignment horizontal="left" vertical="top" wrapText="1"/>
    </xf>
    <xf numFmtId="0" fontId="3" fillId="2" borderId="14" xfId="3" applyFont="1" applyFill="1" applyBorder="1" applyAlignment="1">
      <alignment horizontal="left" vertical="top" wrapText="1"/>
    </xf>
    <xf numFmtId="165" fontId="3" fillId="2" borderId="46" xfId="3" applyNumberFormat="1" applyFont="1" applyFill="1" applyBorder="1" applyAlignment="1">
      <alignment horizontal="center" vertical="top" wrapText="1"/>
    </xf>
    <xf numFmtId="174" fontId="3" fillId="3" borderId="12" xfId="1" applyNumberFormat="1" applyFont="1" applyFill="1" applyBorder="1" applyAlignment="1">
      <alignment horizontal="left" vertical="top" wrapText="1"/>
    </xf>
    <xf numFmtId="174" fontId="3" fillId="2" borderId="5" xfId="1" applyNumberFormat="1" applyFont="1" applyFill="1" applyBorder="1" applyAlignment="1">
      <alignment vertical="top" wrapText="1"/>
    </xf>
    <xf numFmtId="0" fontId="3" fillId="6" borderId="12" xfId="3" applyFont="1" applyFill="1" applyBorder="1" applyAlignment="1">
      <alignment horizontal="left" vertical="top" wrapText="1"/>
    </xf>
    <xf numFmtId="165" fontId="10" fillId="2" borderId="49" xfId="3" applyNumberFormat="1" applyFont="1" applyFill="1" applyBorder="1" applyAlignment="1">
      <alignment horizontal="center" vertical="top" wrapText="1"/>
    </xf>
    <xf numFmtId="0" fontId="10" fillId="2" borderId="50" xfId="3" applyFont="1" applyFill="1" applyBorder="1" applyAlignment="1">
      <alignment horizontal="left" vertical="top" wrapText="1"/>
    </xf>
    <xf numFmtId="174" fontId="10" fillId="2" borderId="51" xfId="1" applyNumberFormat="1" applyFont="1" applyFill="1" applyBorder="1" applyAlignment="1">
      <alignment horizontal="left" vertical="top" wrapText="1"/>
    </xf>
    <xf numFmtId="165" fontId="3" fillId="2" borderId="55" xfId="3" applyNumberFormat="1" applyFont="1" applyFill="1" applyBorder="1" applyAlignment="1">
      <alignment horizontal="center" vertical="top" wrapText="1"/>
    </xf>
    <xf numFmtId="0" fontId="3" fillId="2" borderId="26" xfId="3" applyFont="1" applyFill="1" applyBorder="1" applyAlignment="1">
      <alignment horizontal="left" vertical="top" wrapText="1"/>
    </xf>
    <xf numFmtId="174" fontId="3" fillId="2" borderId="26" xfId="1" applyNumberFormat="1" applyFont="1" applyFill="1" applyBorder="1" applyAlignment="1">
      <alignment horizontal="left" vertical="top" wrapText="1"/>
    </xf>
    <xf numFmtId="174" fontId="3" fillId="2" borderId="51" xfId="1" applyNumberFormat="1" applyFont="1" applyFill="1" applyBorder="1" applyAlignment="1">
      <alignment vertical="top" wrapText="1"/>
    </xf>
    <xf numFmtId="174" fontId="3" fillId="2" borderId="7" xfId="1" applyNumberFormat="1" applyFont="1" applyFill="1" applyBorder="1" applyAlignment="1">
      <alignment horizontal="left" vertical="top" wrapText="1"/>
    </xf>
    <xf numFmtId="174" fontId="3" fillId="2" borderId="56" xfId="1" applyNumberFormat="1" applyFont="1" applyFill="1" applyBorder="1" applyAlignment="1">
      <alignment horizontal="left" vertical="top" wrapText="1"/>
    </xf>
    <xf numFmtId="0" fontId="3" fillId="2" borderId="52" xfId="3" applyFont="1" applyFill="1" applyBorder="1" applyAlignment="1">
      <alignment horizontal="left" vertical="top" wrapText="1"/>
    </xf>
    <xf numFmtId="174" fontId="3" fillId="2" borderId="3" xfId="1" applyNumberFormat="1" applyFont="1" applyFill="1" applyBorder="1" applyAlignment="1">
      <alignment horizontal="left" vertical="top" wrapText="1"/>
    </xf>
    <xf numFmtId="174" fontId="3" fillId="2" borderId="4" xfId="1" applyNumberFormat="1" applyFont="1" applyFill="1" applyBorder="1" applyAlignment="1">
      <alignment horizontal="left" vertical="top" wrapText="1"/>
    </xf>
    <xf numFmtId="0" fontId="3" fillId="2" borderId="41" xfId="3" applyFont="1" applyFill="1" applyBorder="1" applyAlignment="1">
      <alignment horizontal="left" vertical="top" wrapText="1"/>
    </xf>
    <xf numFmtId="165" fontId="3" fillId="2" borderId="57" xfId="3" applyNumberFormat="1" applyFont="1" applyFill="1" applyBorder="1" applyAlignment="1">
      <alignment horizontal="center" vertical="top" wrapText="1"/>
    </xf>
    <xf numFmtId="0" fontId="3" fillId="2" borderId="58" xfId="3" applyFont="1" applyFill="1" applyBorder="1" applyAlignment="1">
      <alignment horizontal="left" vertical="top" wrapText="1"/>
    </xf>
    <xf numFmtId="0" fontId="3" fillId="2" borderId="47" xfId="3" applyFont="1" applyFill="1" applyBorder="1" applyAlignment="1">
      <alignment horizontal="left" vertical="top" wrapText="1"/>
    </xf>
    <xf numFmtId="0" fontId="3" fillId="2" borderId="59" xfId="3" applyFont="1" applyFill="1" applyBorder="1" applyAlignment="1">
      <alignment horizontal="left" vertical="top" wrapText="1"/>
    </xf>
    <xf numFmtId="0" fontId="3" fillId="2" borderId="60" xfId="3" applyFont="1" applyFill="1" applyBorder="1" applyAlignment="1">
      <alignment horizontal="left" vertical="top" wrapText="1"/>
    </xf>
    <xf numFmtId="0" fontId="3" fillId="2" borderId="4" xfId="3" applyFont="1" applyFill="1" applyBorder="1" applyAlignment="1">
      <alignment horizontal="left" vertical="top" wrapText="1"/>
    </xf>
    <xf numFmtId="0" fontId="0" fillId="0" borderId="0" xfId="0"/>
    <xf numFmtId="0" fontId="0" fillId="0" borderId="61" xfId="0" applyBorder="1"/>
    <xf numFmtId="0" fontId="45" fillId="0" borderId="62" xfId="0" applyFont="1" applyBorder="1"/>
    <xf numFmtId="0" fontId="45" fillId="0" borderId="63" xfId="0" applyFont="1" applyBorder="1"/>
    <xf numFmtId="0" fontId="45" fillId="0" borderId="29" xfId="0" applyFont="1" applyFill="1" applyBorder="1"/>
    <xf numFmtId="0" fontId="45" fillId="0" borderId="15" xfId="0" applyFont="1" applyBorder="1"/>
    <xf numFmtId="0" fontId="0" fillId="0" borderId="15" xfId="0" applyBorder="1"/>
    <xf numFmtId="0" fontId="0" fillId="0" borderId="65" xfId="0" applyBorder="1"/>
    <xf numFmtId="0" fontId="45" fillId="0" borderId="8" xfId="0" applyFont="1" applyBorder="1"/>
    <xf numFmtId="0" fontId="46" fillId="0" borderId="8" xfId="0" applyFont="1" applyBorder="1"/>
    <xf numFmtId="0" fontId="0" fillId="0" borderId="8" xfId="0" applyBorder="1"/>
    <xf numFmtId="0" fontId="45" fillId="0" borderId="67" xfId="0" applyFont="1" applyBorder="1"/>
    <xf numFmtId="0" fontId="45" fillId="0" borderId="69" xfId="0" applyFont="1" applyBorder="1"/>
    <xf numFmtId="0" fontId="46" fillId="0" borderId="69" xfId="0" applyFont="1" applyBorder="1"/>
    <xf numFmtId="0" fontId="0" fillId="0" borderId="69" xfId="0" applyBorder="1"/>
    <xf numFmtId="0" fontId="45" fillId="0" borderId="70" xfId="0" applyFont="1" applyBorder="1"/>
    <xf numFmtId="0" fontId="45" fillId="0" borderId="61" xfId="0" applyFont="1" applyBorder="1" applyAlignment="1">
      <alignment horizontal="center" vertical="center" wrapText="1"/>
    </xf>
    <xf numFmtId="0" fontId="45" fillId="0" borderId="34" xfId="0" applyFont="1" applyBorder="1"/>
    <xf numFmtId="0" fontId="45" fillId="0" borderId="71" xfId="0" applyFont="1" applyBorder="1"/>
    <xf numFmtId="0" fontId="45" fillId="0" borderId="0" xfId="0" applyFont="1" applyBorder="1"/>
    <xf numFmtId="10" fontId="0" fillId="0" borderId="0" xfId="0" applyNumberFormat="1" applyBorder="1"/>
    <xf numFmtId="10" fontId="0" fillId="0" borderId="73" xfId="0" applyNumberFormat="1" applyBorder="1"/>
    <xf numFmtId="0" fontId="45" fillId="0" borderId="36" xfId="0" applyFont="1" applyBorder="1"/>
    <xf numFmtId="10" fontId="0" fillId="0" borderId="36" xfId="0" applyNumberFormat="1" applyBorder="1"/>
    <xf numFmtId="10" fontId="0" fillId="0" borderId="74" xfId="0" applyNumberFormat="1" applyBorder="1"/>
    <xf numFmtId="174" fontId="38" fillId="0" borderId="0" xfId="1" applyNumberFormat="1" applyFont="1" applyBorder="1"/>
    <xf numFmtId="174" fontId="45" fillId="0" borderId="73" xfId="1" applyNumberFormat="1" applyFont="1" applyBorder="1"/>
    <xf numFmtId="174" fontId="38" fillId="0" borderId="0" xfId="1" applyNumberFormat="1" applyFont="1"/>
    <xf numFmtId="2" fontId="0" fillId="0" borderId="0" xfId="0" applyNumberFormat="1"/>
    <xf numFmtId="174" fontId="0" fillId="0" borderId="0" xfId="0" applyNumberFormat="1"/>
    <xf numFmtId="43" fontId="0" fillId="0" borderId="0" xfId="0" applyNumberFormat="1"/>
    <xf numFmtId="0" fontId="0" fillId="0" borderId="35" xfId="0" applyBorder="1"/>
    <xf numFmtId="174" fontId="45" fillId="0" borderId="36" xfId="1" applyNumberFormat="1" applyFont="1" applyBorder="1"/>
    <xf numFmtId="174" fontId="45" fillId="0" borderId="74" xfId="1" applyNumberFormat="1" applyFont="1" applyBorder="1"/>
    <xf numFmtId="0" fontId="47" fillId="0" borderId="8" xfId="0" applyFont="1" applyBorder="1"/>
    <xf numFmtId="172" fontId="38" fillId="0" borderId="8" xfId="3" applyNumberFormat="1" applyBorder="1"/>
    <xf numFmtId="172" fontId="41" fillId="0" borderId="8" xfId="3" applyNumberFormat="1" applyFont="1" applyBorder="1" applyAlignment="1">
      <alignment horizontal="right" wrapText="1"/>
    </xf>
    <xf numFmtId="172" fontId="38" fillId="2" borderId="0" xfId="3" applyNumberFormat="1" applyFill="1" applyBorder="1" applyAlignment="1">
      <alignment horizontal="left" vertical="top"/>
    </xf>
    <xf numFmtId="172" fontId="41" fillId="0" borderId="8" xfId="1" applyNumberFormat="1" applyFont="1" applyBorder="1" applyAlignment="1">
      <alignment horizontal="right" wrapText="1"/>
    </xf>
    <xf numFmtId="172" fontId="38" fillId="0" borderId="8" xfId="1" applyNumberFormat="1" applyFont="1" applyBorder="1"/>
    <xf numFmtId="0" fontId="31" fillId="2" borderId="10" xfId="0" applyFont="1" applyFill="1" applyBorder="1" applyAlignment="1">
      <alignment vertical="center"/>
    </xf>
    <xf numFmtId="0" fontId="38" fillId="0" borderId="0" xfId="3" applyAlignment="1">
      <alignment vertical="center"/>
    </xf>
    <xf numFmtId="0" fontId="50" fillId="0" borderId="8" xfId="3" applyFont="1" applyBorder="1" applyAlignment="1">
      <alignment horizontal="center" vertical="center" wrapText="1"/>
    </xf>
    <xf numFmtId="0" fontId="52" fillId="0" borderId="8" xfId="4" applyFont="1" applyBorder="1" applyAlignment="1">
      <alignment horizontal="center" vertical="center" wrapText="1"/>
    </xf>
    <xf numFmtId="0" fontId="45" fillId="0" borderId="8" xfId="3" applyFont="1" applyBorder="1" applyAlignment="1">
      <alignment horizontal="center" vertical="center" wrapText="1"/>
    </xf>
    <xf numFmtId="0" fontId="38" fillId="0" borderId="0" xfId="3" applyAlignment="1">
      <alignment horizontal="center" vertical="center"/>
    </xf>
    <xf numFmtId="0" fontId="38" fillId="0" borderId="8" xfId="3" applyBorder="1" applyAlignment="1">
      <alignment vertical="center"/>
    </xf>
    <xf numFmtId="0" fontId="51" fillId="0" borderId="8" xfId="4" applyBorder="1" applyAlignment="1">
      <alignment vertical="center"/>
    </xf>
    <xf numFmtId="2" fontId="51" fillId="0" borderId="8" xfId="4" applyNumberFormat="1" applyBorder="1" applyAlignment="1">
      <alignment vertical="center"/>
    </xf>
    <xf numFmtId="175" fontId="51" fillId="0" borderId="8" xfId="4" applyNumberFormat="1" applyBorder="1" applyAlignment="1">
      <alignment vertical="center"/>
    </xf>
    <xf numFmtId="0" fontId="53" fillId="0" borderId="8" xfId="3" applyFont="1" applyBorder="1" applyAlignment="1">
      <alignment horizontal="left" vertical="center"/>
    </xf>
    <xf numFmtId="0" fontId="38" fillId="0" borderId="8" xfId="3" applyBorder="1" applyAlignment="1">
      <alignment horizontal="left" vertical="center"/>
    </xf>
    <xf numFmtId="0" fontId="54" fillId="0" borderId="8" xfId="4" applyFont="1" applyBorder="1" applyAlignment="1">
      <alignment horizontal="right" vertical="center"/>
    </xf>
    <xf numFmtId="0" fontId="55" fillId="0" borderId="8" xfId="4" applyFont="1" applyBorder="1" applyAlignment="1">
      <alignment vertical="center"/>
    </xf>
    <xf numFmtId="2" fontId="54" fillId="0" borderId="8" xfId="4" applyNumberFormat="1" applyFont="1" applyBorder="1" applyAlignment="1">
      <alignment vertical="center"/>
    </xf>
    <xf numFmtId="2" fontId="55" fillId="0" borderId="8" xfId="4" applyNumberFormat="1" applyFont="1" applyBorder="1" applyAlignment="1">
      <alignment vertical="center"/>
    </xf>
    <xf numFmtId="2" fontId="54" fillId="0" borderId="8" xfId="4" applyNumberFormat="1" applyFont="1" applyFill="1" applyBorder="1" applyAlignment="1">
      <alignment vertical="center"/>
    </xf>
    <xf numFmtId="0" fontId="54" fillId="0" borderId="8" xfId="4" applyFont="1" applyBorder="1" applyAlignment="1">
      <alignment vertical="center"/>
    </xf>
    <xf numFmtId="176" fontId="38" fillId="0" borderId="0" xfId="3" applyNumberFormat="1" applyAlignment="1">
      <alignment vertical="center"/>
    </xf>
    <xf numFmtId="0" fontId="38" fillId="0" borderId="0" xfId="3" applyAlignment="1">
      <alignment horizontal="left" vertical="center"/>
    </xf>
    <xf numFmtId="0" fontId="45" fillId="0" borderId="0" xfId="3" applyFont="1" applyAlignment="1">
      <alignment vertical="center"/>
    </xf>
    <xf numFmtId="1" fontId="38" fillId="0" borderId="0" xfId="3" applyNumberFormat="1" applyAlignment="1">
      <alignment vertical="center"/>
    </xf>
    <xf numFmtId="0" fontId="50" fillId="0" borderId="8" xfId="3" applyFont="1" applyBorder="1" applyAlignment="1">
      <alignment vertical="center"/>
    </xf>
    <xf numFmtId="0" fontId="52" fillId="0" borderId="8" xfId="4" applyFont="1" applyBorder="1" applyAlignment="1">
      <alignment vertical="center" wrapText="1"/>
    </xf>
    <xf numFmtId="0" fontId="52" fillId="0" borderId="8" xfId="5" applyFont="1" applyBorder="1" applyAlignment="1">
      <alignment horizontal="center"/>
    </xf>
    <xf numFmtId="0" fontId="52" fillId="0" borderId="8" xfId="5" applyFont="1" applyBorder="1" applyAlignment="1">
      <alignment horizontal="right"/>
    </xf>
    <xf numFmtId="0" fontId="52" fillId="0" borderId="8" xfId="3" applyFont="1" applyBorder="1" applyAlignment="1">
      <alignment horizontal="center" vertical="center" wrapText="1"/>
    </xf>
    <xf numFmtId="0" fontId="45" fillId="0" borderId="8" xfId="3" applyFont="1" applyBorder="1" applyAlignment="1">
      <alignment vertical="center"/>
    </xf>
    <xf numFmtId="0" fontId="38" fillId="0" borderId="8" xfId="3" applyBorder="1" applyAlignment="1"/>
    <xf numFmtId="0" fontId="51" fillId="0" borderId="8" xfId="5" applyBorder="1"/>
    <xf numFmtId="0" fontId="53" fillId="0" borderId="8" xfId="5" applyFont="1" applyBorder="1"/>
    <xf numFmtId="14" fontId="51" fillId="0" borderId="8" xfId="5" applyNumberFormat="1" applyBorder="1" applyAlignment="1">
      <alignment horizontal="right"/>
    </xf>
    <xf numFmtId="2" fontId="51" fillId="0" borderId="8" xfId="5" applyNumberFormat="1" applyBorder="1"/>
    <xf numFmtId="2" fontId="51" fillId="0" borderId="8" xfId="5" applyNumberFormat="1" applyFont="1" applyBorder="1"/>
    <xf numFmtId="0" fontId="53" fillId="0" borderId="8" xfId="3" applyFont="1" applyBorder="1" applyAlignment="1">
      <alignment vertical="center"/>
    </xf>
    <xf numFmtId="0" fontId="51" fillId="0" borderId="8" xfId="5" applyBorder="1" applyAlignment="1">
      <alignment horizontal="right"/>
    </xf>
    <xf numFmtId="2" fontId="38" fillId="0" borderId="0" xfId="3" applyNumberFormat="1"/>
    <xf numFmtId="14" fontId="51" fillId="0" borderId="8" xfId="5" applyNumberFormat="1" applyBorder="1"/>
    <xf numFmtId="1" fontId="38" fillId="0" borderId="0" xfId="3" applyNumberFormat="1"/>
    <xf numFmtId="2" fontId="45" fillId="0" borderId="0" xfId="3" applyNumberFormat="1" applyFont="1" applyAlignment="1">
      <alignment vertical="center"/>
    </xf>
    <xf numFmtId="0" fontId="52" fillId="0" borderId="8" xfId="6" applyFont="1" applyBorder="1" applyAlignment="1">
      <alignment horizontal="center" wrapText="1"/>
    </xf>
    <xf numFmtId="0" fontId="38" fillId="0" borderId="0" xfId="3" applyAlignment="1">
      <alignment horizontal="center"/>
    </xf>
    <xf numFmtId="0" fontId="38" fillId="0" borderId="8" xfId="3" applyBorder="1"/>
    <xf numFmtId="0" fontId="51" fillId="0" borderId="8" xfId="6" applyBorder="1"/>
    <xf numFmtId="14" fontId="51" fillId="0" borderId="8" xfId="6" applyNumberFormat="1" applyBorder="1" applyAlignment="1">
      <alignment horizontal="right"/>
    </xf>
    <xf numFmtId="2" fontId="51" fillId="0" borderId="8" xfId="6" applyNumberFormat="1" applyBorder="1"/>
    <xf numFmtId="0" fontId="51" fillId="0" borderId="8" xfId="6" applyBorder="1" applyAlignment="1">
      <alignment horizontal="right"/>
    </xf>
    <xf numFmtId="0" fontId="53" fillId="0" borderId="8" xfId="6" applyFont="1" applyBorder="1"/>
    <xf numFmtId="177" fontId="51" fillId="0" borderId="8" xfId="6" applyNumberFormat="1" applyBorder="1" applyAlignment="1">
      <alignment horizontal="right"/>
    </xf>
    <xf numFmtId="0" fontId="38" fillId="0" borderId="8" xfId="3" applyBorder="1" applyAlignment="1">
      <alignment horizontal="center" vertical="center"/>
    </xf>
    <xf numFmtId="0" fontId="52" fillId="0" borderId="8" xfId="6" applyFont="1" applyBorder="1" applyAlignment="1">
      <alignment horizontal="center"/>
    </xf>
    <xf numFmtId="0" fontId="45" fillId="0" borderId="8" xfId="3" applyFont="1" applyBorder="1" applyAlignment="1">
      <alignment horizontal="center" vertical="center"/>
    </xf>
    <xf numFmtId="0" fontId="51" fillId="0" borderId="8" xfId="7" applyBorder="1"/>
    <xf numFmtId="0" fontId="51" fillId="0" borderId="8" xfId="7" applyBorder="1" applyAlignment="1">
      <alignment horizontal="right"/>
    </xf>
    <xf numFmtId="2" fontId="51" fillId="0" borderId="8" xfId="7" applyNumberFormat="1" applyBorder="1"/>
    <xf numFmtId="0" fontId="53" fillId="0" borderId="8" xfId="7" applyFont="1" applyBorder="1"/>
    <xf numFmtId="14" fontId="51" fillId="0" borderId="8" xfId="7" applyNumberFormat="1" applyBorder="1" applyAlignment="1">
      <alignment horizontal="right"/>
    </xf>
    <xf numFmtId="0" fontId="53" fillId="0" borderId="8" xfId="7" applyFont="1" applyBorder="1" applyAlignment="1">
      <alignment horizontal="right"/>
    </xf>
    <xf numFmtId="2" fontId="53" fillId="0" borderId="8" xfId="7" applyNumberFormat="1" applyFont="1" applyBorder="1"/>
    <xf numFmtId="14" fontId="53" fillId="0" borderId="8" xfId="7" applyNumberFormat="1" applyFont="1" applyBorder="1" applyAlignment="1">
      <alignment horizontal="right"/>
    </xf>
    <xf numFmtId="0" fontId="51" fillId="0" borderId="8" xfId="8" applyBorder="1"/>
    <xf numFmtId="0" fontId="51" fillId="0" borderId="8" xfId="8" applyBorder="1" applyAlignment="1"/>
    <xf numFmtId="2" fontId="51" fillId="0" borderId="8" xfId="8" applyNumberFormat="1" applyBorder="1"/>
    <xf numFmtId="14" fontId="51" fillId="0" borderId="8" xfId="8" applyNumberFormat="1" applyBorder="1" applyAlignment="1"/>
    <xf numFmtId="0" fontId="51" fillId="0" borderId="0" xfId="8"/>
    <xf numFmtId="2" fontId="51" fillId="0" borderId="0" xfId="8" applyNumberFormat="1"/>
    <xf numFmtId="2" fontId="51" fillId="0" borderId="0" xfId="8" applyNumberFormat="1" applyFill="1"/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12" xfId="0" applyFont="1" applyFill="1" applyBorder="1" applyAlignment="1">
      <alignment horizontal="center" vertical="center" wrapText="1"/>
    </xf>
    <xf numFmtId="165" fontId="5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59" fillId="2" borderId="9" xfId="0" applyNumberFormat="1" applyFont="1" applyFill="1" applyBorder="1" applyAlignment="1">
      <alignment horizontal="center" vertical="center"/>
    </xf>
    <xf numFmtId="2" fontId="60" fillId="2" borderId="8" xfId="0" applyNumberFormat="1" applyFont="1" applyFill="1" applyBorder="1" applyAlignment="1">
      <alignment horizontal="center" vertical="center"/>
    </xf>
    <xf numFmtId="2" fontId="59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2" fontId="59" fillId="2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72" fontId="2" fillId="0" borderId="14" xfId="0" applyNumberFormat="1" applyFont="1" applyFill="1" applyBorder="1" applyAlignment="1">
      <alignment horizontal="center" vertical="center" wrapText="1"/>
    </xf>
    <xf numFmtId="172" fontId="2" fillId="2" borderId="14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left" vertical="top"/>
    </xf>
    <xf numFmtId="1" fontId="2" fillId="0" borderId="26" xfId="0" applyNumberFormat="1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172" fontId="2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43" fontId="2" fillId="2" borderId="8" xfId="1" applyNumberFormat="1" applyFont="1" applyFill="1" applyBorder="1" applyAlignment="1">
      <alignment vertical="center" wrapText="1"/>
    </xf>
    <xf numFmtId="0" fontId="59" fillId="2" borderId="0" xfId="0" applyFont="1" applyFill="1" applyBorder="1" applyAlignment="1">
      <alignment horizontal="left" vertical="top"/>
    </xf>
    <xf numFmtId="172" fontId="2" fillId="2" borderId="77" xfId="0" applyNumberFormat="1" applyFont="1" applyFill="1" applyBorder="1" applyAlignment="1">
      <alignment horizontal="center" vertical="center" wrapText="1"/>
    </xf>
    <xf numFmtId="172" fontId="59" fillId="2" borderId="15" xfId="0" applyNumberFormat="1" applyFont="1" applyFill="1" applyBorder="1" applyAlignment="1">
      <alignment horizontal="center" vertical="center"/>
    </xf>
    <xf numFmtId="1" fontId="2" fillId="2" borderId="78" xfId="0" applyNumberFormat="1" applyFont="1" applyFill="1" applyBorder="1" applyAlignment="1">
      <alignment horizontal="center" vertical="center" wrapText="1"/>
    </xf>
    <xf numFmtId="1" fontId="59" fillId="2" borderId="8" xfId="0" applyNumberFormat="1" applyFont="1" applyFill="1" applyBorder="1" applyAlignment="1">
      <alignment horizontal="center" vertical="center"/>
    </xf>
    <xf numFmtId="2" fontId="2" fillId="2" borderId="78" xfId="0" applyNumberFormat="1" applyFont="1" applyFill="1" applyBorder="1" applyAlignment="1">
      <alignment horizontal="center" vertical="center" wrapText="1"/>
    </xf>
    <xf numFmtId="165" fontId="61" fillId="2" borderId="0" xfId="0" applyNumberFormat="1" applyFont="1" applyFill="1" applyBorder="1" applyAlignment="1">
      <alignment horizontal="left" vertical="top" wrapText="1"/>
    </xf>
    <xf numFmtId="165" fontId="58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/>
    </xf>
    <xf numFmtId="169" fontId="3" fillId="0" borderId="18" xfId="1" applyNumberFormat="1" applyFont="1" applyFill="1" applyBorder="1" applyAlignment="1">
      <alignment horizontal="center" vertical="top" wrapText="1"/>
    </xf>
    <xf numFmtId="169" fontId="3" fillId="0" borderId="19" xfId="1" applyNumberFormat="1" applyFont="1" applyFill="1" applyBorder="1" applyAlignment="1">
      <alignment horizontal="center" vertical="top" wrapText="1"/>
    </xf>
    <xf numFmtId="169" fontId="3" fillId="0" borderId="20" xfId="1" applyNumberFormat="1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 indent="1"/>
    </xf>
    <xf numFmtId="0" fontId="3" fillId="0" borderId="11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8" fontId="3" fillId="2" borderId="5" xfId="0" applyNumberFormat="1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68" fontId="3" fillId="2" borderId="12" xfId="0" applyNumberFormat="1" applyFont="1" applyFill="1" applyBorder="1" applyAlignment="1">
      <alignment horizontal="center" vertical="center" wrapText="1"/>
    </xf>
    <xf numFmtId="168" fontId="3" fillId="2" borderId="26" xfId="0" applyNumberFormat="1" applyFont="1" applyFill="1" applyBorder="1" applyAlignment="1">
      <alignment horizontal="center" vertical="center" wrapText="1"/>
    </xf>
    <xf numFmtId="168" fontId="3" fillId="2" borderId="14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27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48" fillId="0" borderId="0" xfId="3" applyFont="1" applyAlignment="1">
      <alignment horizontal="center" vertical="center"/>
    </xf>
    <xf numFmtId="0" fontId="49" fillId="0" borderId="0" xfId="3" applyFont="1" applyAlignment="1">
      <alignment horizontal="center" vertical="center"/>
    </xf>
    <xf numFmtId="0" fontId="38" fillId="0" borderId="13" xfId="3" applyBorder="1" applyAlignment="1">
      <alignment horizontal="center" vertical="center" wrapText="1"/>
    </xf>
    <xf numFmtId="0" fontId="38" fillId="0" borderId="21" xfId="3" applyBorder="1" applyAlignment="1">
      <alignment horizontal="center" vertical="center" wrapText="1"/>
    </xf>
    <xf numFmtId="0" fontId="38" fillId="0" borderId="15" xfId="3" applyBorder="1" applyAlignment="1">
      <alignment horizontal="center" vertical="center" wrapText="1"/>
    </xf>
    <xf numFmtId="0" fontId="56" fillId="0" borderId="19" xfId="3" applyFont="1" applyBorder="1" applyAlignment="1">
      <alignment horizont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indent="1"/>
    </xf>
    <xf numFmtId="0" fontId="3" fillId="0" borderId="5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right" vertical="top"/>
    </xf>
    <xf numFmtId="0" fontId="3" fillId="0" borderId="27" xfId="0" applyFont="1" applyFill="1" applyBorder="1" applyAlignment="1">
      <alignment horizontal="right" vertical="top"/>
    </xf>
    <xf numFmtId="0" fontId="10" fillId="0" borderId="23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top"/>
    </xf>
    <xf numFmtId="0" fontId="41" fillId="0" borderId="33" xfId="3" applyFont="1" applyBorder="1" applyAlignment="1">
      <alignment horizontal="right" wrapText="1"/>
    </xf>
    <xf numFmtId="0" fontId="41" fillId="0" borderId="34" xfId="3" applyFont="1" applyBorder="1" applyAlignment="1">
      <alignment horizontal="right" wrapText="1"/>
    </xf>
    <xf numFmtId="0" fontId="39" fillId="0" borderId="36" xfId="3" applyFont="1" applyBorder="1" applyAlignment="1">
      <alignment horizontal="center"/>
    </xf>
    <xf numFmtId="0" fontId="14" fillId="2" borderId="5" xfId="0" applyFont="1" applyFill="1" applyBorder="1" applyAlignment="1">
      <alignment horizontal="left" vertical="top" wrapText="1"/>
    </xf>
    <xf numFmtId="0" fontId="14" fillId="2" borderId="28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right" vertical="top" wrapText="1"/>
    </xf>
    <xf numFmtId="0" fontId="14" fillId="2" borderId="27" xfId="0" applyFont="1" applyFill="1" applyBorder="1" applyAlignment="1">
      <alignment horizontal="righ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top" wrapText="1"/>
    </xf>
    <xf numFmtId="165" fontId="14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right" vertical="top" wrapText="1"/>
    </xf>
    <xf numFmtId="0" fontId="14" fillId="2" borderId="4" xfId="0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horizontal="right" vertical="top" wrapText="1"/>
    </xf>
    <xf numFmtId="0" fontId="14" fillId="2" borderId="4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left" vertical="top" wrapText="1"/>
    </xf>
    <xf numFmtId="0" fontId="26" fillId="2" borderId="3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165" fontId="28" fillId="2" borderId="2" xfId="0" applyNumberFormat="1" applyFont="1" applyFill="1" applyBorder="1" applyAlignment="1">
      <alignment horizontal="center" vertical="center" wrapText="1"/>
    </xf>
    <xf numFmtId="165" fontId="28" fillId="2" borderId="4" xfId="0" applyNumberFormat="1" applyFont="1" applyFill="1" applyBorder="1" applyAlignment="1">
      <alignment horizontal="center" vertical="center" wrapText="1"/>
    </xf>
    <xf numFmtId="0" fontId="14" fillId="2" borderId="2" xfId="0" quotePrefix="1" applyFont="1" applyFill="1" applyBorder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top"/>
    </xf>
    <xf numFmtId="0" fontId="29" fillId="2" borderId="19" xfId="0" applyFont="1" applyFill="1" applyBorder="1" applyAlignment="1">
      <alignment horizontal="center" vertical="top"/>
    </xf>
    <xf numFmtId="0" fontId="31" fillId="2" borderId="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top" wrapText="1"/>
    </xf>
    <xf numFmtId="0" fontId="32" fillId="2" borderId="19" xfId="0" applyFont="1" applyFill="1" applyBorder="1" applyAlignment="1">
      <alignment horizontal="center" vertical="top" wrapText="1"/>
    </xf>
    <xf numFmtId="0" fontId="30" fillId="2" borderId="8" xfId="0" applyFont="1" applyFill="1" applyBorder="1" applyAlignment="1">
      <alignment horizontal="center" vertical="top" wrapText="1"/>
    </xf>
    <xf numFmtId="0" fontId="31" fillId="2" borderId="8" xfId="0" applyFont="1" applyFill="1" applyBorder="1" applyAlignment="1">
      <alignment horizontal="center" vertical="top"/>
    </xf>
    <xf numFmtId="0" fontId="3" fillId="2" borderId="40" xfId="3" applyFont="1" applyFill="1" applyBorder="1" applyAlignment="1">
      <alignment horizontal="left" vertical="top" wrapText="1"/>
    </xf>
    <xf numFmtId="0" fontId="3" fillId="2" borderId="3" xfId="3" applyFont="1" applyFill="1" applyBorder="1" applyAlignment="1">
      <alignment horizontal="left" vertical="top" wrapText="1"/>
    </xf>
    <xf numFmtId="0" fontId="3" fillId="2" borderId="41" xfId="3" applyFont="1" applyFill="1" applyBorder="1" applyAlignment="1">
      <alignment horizontal="left" vertical="top" wrapText="1"/>
    </xf>
    <xf numFmtId="43" fontId="10" fillId="2" borderId="0" xfId="3" applyNumberFormat="1" applyFont="1" applyFill="1" applyBorder="1" applyAlignment="1">
      <alignment horizontal="center" vertical="top" wrapText="1"/>
    </xf>
    <xf numFmtId="0" fontId="10" fillId="2" borderId="0" xfId="3" applyFont="1" applyFill="1" applyBorder="1" applyAlignment="1">
      <alignment horizontal="center" vertical="top" wrapText="1"/>
    </xf>
    <xf numFmtId="0" fontId="3" fillId="2" borderId="36" xfId="3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5" fillId="0" borderId="64" xfId="0" applyFont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45" fillId="0" borderId="68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72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Normal 2" xfId="3"/>
    <cellStyle name="Normal_Asset Addition-31-03-2010" xfId="4"/>
    <cellStyle name="Normal_Asset Addition-31-03-2011" xfId="5"/>
    <cellStyle name="Normal_Asset Addition-31-03-2012" xfId="6"/>
    <cellStyle name="Normal_Asset Addition-31-03-2013" xfId="7"/>
    <cellStyle name="Normal_list-new-asset-2013-14-sa" xfId="8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/2019-24%20TARIFF%20DISCUSSION/form%20vi%20a%20wo%20lhs/TPS-I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/2019-24%20TARIFF%20DISCUSSION/ANNEX-VIII_for_2013-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Sheet1"/>
      <sheetName val="Staff Welfare "/>
    </sheetNames>
    <sheetDataSet>
      <sheetData sheetId="0">
        <row r="13">
          <cell r="H13">
            <v>68.186999999999998</v>
          </cell>
          <cell r="I13">
            <v>65.859780000000001</v>
          </cell>
          <cell r="J13">
            <v>69.890029999999996</v>
          </cell>
          <cell r="K13">
            <v>64.226399999999998</v>
          </cell>
          <cell r="L13">
            <v>41.240719999999996</v>
          </cell>
        </row>
        <row r="27">
          <cell r="H27">
            <v>39.916980000000002</v>
          </cell>
          <cell r="I27">
            <v>34.109070000000003</v>
          </cell>
          <cell r="J27">
            <v>27.73883</v>
          </cell>
          <cell r="K27">
            <v>40.628819199999995</v>
          </cell>
          <cell r="L27">
            <v>16.7101477</v>
          </cell>
        </row>
        <row r="30">
          <cell r="H30">
            <v>928.87175879999995</v>
          </cell>
          <cell r="I30">
            <v>900.62393529999997</v>
          </cell>
          <cell r="J30">
            <v>938.16547070000001</v>
          </cell>
          <cell r="K30">
            <v>966.40484089999995</v>
          </cell>
          <cell r="L30">
            <v>1004.1026062000001</v>
          </cell>
        </row>
      </sheetData>
      <sheetData sheetId="1">
        <row r="6">
          <cell r="B6" t="str">
            <v>Stores &amp; Spares</v>
          </cell>
          <cell r="C6">
            <v>2085.391228</v>
          </cell>
          <cell r="D6">
            <v>2502.2139698000005</v>
          </cell>
          <cell r="E6">
            <v>2847.1190620000002</v>
          </cell>
          <cell r="F6">
            <v>2464.4450525999996</v>
          </cell>
          <cell r="G6">
            <v>2069.7365597000003</v>
          </cell>
        </row>
        <row r="7">
          <cell r="B7" t="str">
            <v>Remuneration &amp; Benefits</v>
          </cell>
        </row>
        <row r="8">
          <cell r="B8" t="str">
            <v>Outside Services</v>
          </cell>
          <cell r="C8">
            <v>1717.1922000000002</v>
          </cell>
          <cell r="D8">
            <v>1996.63517</v>
          </cell>
          <cell r="E8">
            <v>1983.28603</v>
          </cell>
          <cell r="F8">
            <v>2082.2567899999999</v>
          </cell>
          <cell r="G8">
            <v>2541.0259095399997</v>
          </cell>
        </row>
        <row r="9">
          <cell r="B9" t="str">
            <v>Internal Services</v>
          </cell>
        </row>
        <row r="10">
          <cell r="B10" t="str">
            <v>Common Charges</v>
          </cell>
          <cell r="C10">
            <v>4730.2049803999998</v>
          </cell>
          <cell r="D10">
            <v>6081.4820203999998</v>
          </cell>
          <cell r="E10">
            <v>5911.2877230999993</v>
          </cell>
          <cell r="F10">
            <v>6075.8874527999997</v>
          </cell>
          <cell r="G10">
            <v>5534.329039199999</v>
          </cell>
        </row>
        <row r="11">
          <cell r="B11" t="str">
            <v>Other Expenditure</v>
          </cell>
          <cell r="C11">
            <v>281.80669499999999</v>
          </cell>
          <cell r="D11">
            <v>209.19286450000001</v>
          </cell>
          <cell r="E11">
            <v>260.46899500000001</v>
          </cell>
          <cell r="F11">
            <v>254.99913629999995</v>
          </cell>
          <cell r="G11">
            <v>198.53379850000002</v>
          </cell>
        </row>
        <row r="13">
          <cell r="B13" t="str">
            <v>Recovery -Others</v>
          </cell>
          <cell r="C13">
            <v>49.826219999999999</v>
          </cell>
          <cell r="D13">
            <v>22.444448000000001</v>
          </cell>
          <cell r="E13">
            <v>7.1712123999999999</v>
          </cell>
          <cell r="F13">
            <v>11.943217899999999</v>
          </cell>
          <cell r="G13">
            <v>3214.6537395</v>
          </cell>
        </row>
        <row r="15">
          <cell r="G15">
            <v>-3014.6264999999999</v>
          </cell>
        </row>
        <row r="28">
          <cell r="C28">
            <v>82.081592300000011</v>
          </cell>
          <cell r="D28">
            <v>83.074695399999996</v>
          </cell>
          <cell r="E28">
            <v>84.98833190000002</v>
          </cell>
          <cell r="F28">
            <v>74.386608099999989</v>
          </cell>
          <cell r="G28">
            <v>74.750266500000009</v>
          </cell>
        </row>
        <row r="29">
          <cell r="C29">
            <v>2011.2179693999997</v>
          </cell>
          <cell r="D29">
            <v>1524.6061096999997</v>
          </cell>
          <cell r="E29">
            <v>1598.0936649</v>
          </cell>
          <cell r="F29">
            <v>1427.5656340999999</v>
          </cell>
          <cell r="G29">
            <v>1443.3186138599999</v>
          </cell>
        </row>
        <row r="38">
          <cell r="C38">
            <v>1182.2648308</v>
          </cell>
          <cell r="D38">
            <v>813.92120409999995</v>
          </cell>
          <cell r="E38">
            <v>818.26505889999999</v>
          </cell>
          <cell r="F38">
            <v>730.78701000000001</v>
          </cell>
          <cell r="G38">
            <v>846.48018999999999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VIII"/>
      <sheetName val="allcn"/>
      <sheetName val="Pivot_16-17"/>
      <sheetName val="pivot_12-13"/>
      <sheetName val="pivot_13-14"/>
      <sheetName val="pivot_15-16"/>
      <sheetName val="pivot_14-15"/>
      <sheetName val="2012-13"/>
      <sheetName val="2013-14"/>
      <sheetName val="2014-15"/>
      <sheetName val="2015-16"/>
      <sheetName val="2016-17"/>
      <sheetName val="Sheet1"/>
    </sheetNames>
    <sheetDataSet>
      <sheetData sheetId="0">
        <row r="40">
          <cell r="D40">
            <v>45969.73222659999</v>
          </cell>
          <cell r="E40">
            <v>61062.769764700002</v>
          </cell>
          <cell r="F40">
            <v>61502.801150200037</v>
          </cell>
          <cell r="G40">
            <v>71230.661934599979</v>
          </cell>
          <cell r="H40">
            <v>69455.297105300007</v>
          </cell>
        </row>
      </sheetData>
      <sheetData sheetId="1">
        <row r="20">
          <cell r="C20">
            <v>13373.891139633171</v>
          </cell>
          <cell r="D20">
            <v>4481.7406793401306</v>
          </cell>
          <cell r="E20">
            <v>13897.284612859268</v>
          </cell>
          <cell r="F20">
            <v>65.696672540988601</v>
          </cell>
          <cell r="G20">
            <v>4730.2047673491834</v>
          </cell>
          <cell r="H20">
            <v>1499.6381292555395</v>
          </cell>
          <cell r="I20">
            <v>7582.364760886453</v>
          </cell>
          <cell r="J20">
            <v>338.91146473525606</v>
          </cell>
          <cell r="K20">
            <v>0</v>
          </cell>
        </row>
        <row r="21">
          <cell r="C21">
            <v>17757.649874746141</v>
          </cell>
          <cell r="D21">
            <v>6117.6588762346846</v>
          </cell>
          <cell r="E21">
            <v>18971.927594294437</v>
          </cell>
          <cell r="F21">
            <v>79.356461019556392</v>
          </cell>
          <cell r="G21">
            <v>6081.4824663817099</v>
          </cell>
          <cell r="H21">
            <v>1958.0152196898207</v>
          </cell>
          <cell r="I21">
            <v>9759.7623676260664</v>
          </cell>
          <cell r="J21">
            <v>336.91690470759033</v>
          </cell>
          <cell r="K21">
            <v>0</v>
          </cell>
        </row>
        <row r="22">
          <cell r="C22">
            <v>17871.446944148545</v>
          </cell>
          <cell r="D22">
            <v>5918.1598490896477</v>
          </cell>
          <cell r="E22">
            <v>19398.153867041616</v>
          </cell>
          <cell r="F22">
            <v>77.28636609163847</v>
          </cell>
          <cell r="G22">
            <v>5911.2873935727557</v>
          </cell>
          <cell r="H22">
            <v>2098.5362823161977</v>
          </cell>
          <cell r="I22">
            <v>9822.1770505585391</v>
          </cell>
          <cell r="J22">
            <v>405.7533973811033</v>
          </cell>
          <cell r="K22">
            <v>0</v>
          </cell>
        </row>
        <row r="23">
          <cell r="C23">
            <v>20433.400145326541</v>
          </cell>
          <cell r="D23">
            <v>6996.516160605649</v>
          </cell>
          <cell r="E23">
            <v>22491.883866096854</v>
          </cell>
          <cell r="F23">
            <v>81.911543389973886</v>
          </cell>
          <cell r="G23">
            <v>6075.8877487611353</v>
          </cell>
          <cell r="H23">
            <v>2222.0125702359301</v>
          </cell>
          <cell r="I23">
            <v>10581.612367938425</v>
          </cell>
          <cell r="J23">
            <v>399.92106488046073</v>
          </cell>
          <cell r="K23">
            <v>1947.5164673650154</v>
          </cell>
        </row>
        <row r="24">
          <cell r="C24">
            <v>20509.673181440427</v>
          </cell>
          <cell r="D24">
            <v>7118.1340644220008</v>
          </cell>
          <cell r="E24">
            <v>21845.21236815595</v>
          </cell>
          <cell r="F24">
            <v>92.568989686312079</v>
          </cell>
          <cell r="G24">
            <v>5534.3291101248469</v>
          </cell>
          <cell r="H24">
            <v>2004.2836261857713</v>
          </cell>
          <cell r="I24">
            <v>9788.2675578409289</v>
          </cell>
          <cell r="J24">
            <v>444.44780919579301</v>
          </cell>
          <cell r="K24">
            <v>2118.3803982479712</v>
          </cell>
        </row>
      </sheetData>
      <sheetData sheetId="2">
        <row r="3">
          <cell r="A3" t="str">
            <v>Sum of Net in Rs</v>
          </cell>
        </row>
      </sheetData>
      <sheetData sheetId="3">
        <row r="3">
          <cell r="A3" t="str">
            <v>Sum of Net in Rs</v>
          </cell>
        </row>
      </sheetData>
      <sheetData sheetId="4">
        <row r="3">
          <cell r="A3" t="str">
            <v>Sum of Net in Rs</v>
          </cell>
        </row>
      </sheetData>
      <sheetData sheetId="5">
        <row r="3">
          <cell r="A3" t="str">
            <v>Sum of Net in Rs</v>
          </cell>
        </row>
      </sheetData>
      <sheetData sheetId="6">
        <row r="3">
          <cell r="A3" t="str">
            <v>Sum of Net in Rs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317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6"/>
  <sheetViews>
    <sheetView workbookViewId="0">
      <selection sqref="A1:H36"/>
    </sheetView>
  </sheetViews>
  <sheetFormatPr defaultColWidth="8.83203125" defaultRowHeight="15"/>
  <cols>
    <col min="1" max="1" width="6" style="63" customWidth="1"/>
    <col min="2" max="2" width="34" style="1" customWidth="1"/>
    <col min="3" max="3" width="9" style="1" customWidth="1"/>
    <col min="4" max="4" width="14.33203125" style="1" customWidth="1"/>
    <col min="5" max="8" width="14.1640625" style="1" customWidth="1"/>
    <col min="9" max="9" width="21.83203125" style="1" hidden="1" customWidth="1"/>
    <col min="10" max="10" width="12.6640625" style="1" bestFit="1" customWidth="1"/>
    <col min="11" max="11" width="11.5" style="1" bestFit="1" customWidth="1"/>
    <col min="12" max="16384" width="8.83203125" style="1"/>
  </cols>
  <sheetData>
    <row r="1" spans="1:10">
      <c r="G1" s="1" t="s">
        <v>65</v>
      </c>
    </row>
    <row r="2" spans="1:10" ht="35.450000000000003" customHeight="1">
      <c r="A2" s="459" t="s">
        <v>0</v>
      </c>
      <c r="B2" s="460"/>
      <c r="C2" s="460"/>
      <c r="D2" s="460"/>
      <c r="E2" s="460"/>
      <c r="F2" s="460"/>
      <c r="G2" s="460"/>
      <c r="H2" s="460"/>
    </row>
    <row r="3" spans="1:10" ht="13.9" customHeight="1">
      <c r="A3" s="64"/>
      <c r="B3" s="6" t="s">
        <v>66</v>
      </c>
      <c r="C3" s="4" t="s">
        <v>67</v>
      </c>
      <c r="D3" s="5" t="s">
        <v>68</v>
      </c>
      <c r="E3" s="5" t="s">
        <v>69</v>
      </c>
      <c r="F3" s="5" t="s">
        <v>70</v>
      </c>
      <c r="G3" s="5" t="s">
        <v>71</v>
      </c>
      <c r="H3" s="5" t="s">
        <v>72</v>
      </c>
      <c r="I3" s="26" t="s">
        <v>51</v>
      </c>
    </row>
    <row r="4" spans="1:10" ht="19.899999999999999" customHeight="1">
      <c r="A4" s="11">
        <v>1</v>
      </c>
      <c r="B4" s="4" t="s">
        <v>73</v>
      </c>
      <c r="C4" s="4"/>
      <c r="D4" s="461" t="s">
        <v>1</v>
      </c>
      <c r="E4" s="461"/>
      <c r="F4" s="461"/>
      <c r="G4" s="461"/>
      <c r="H4" s="461"/>
      <c r="I4" s="26"/>
    </row>
    <row r="5" spans="1:10" ht="17.45" customHeight="1">
      <c r="A5" s="11">
        <v>2</v>
      </c>
      <c r="B5" s="10" t="s">
        <v>190</v>
      </c>
      <c r="C5" s="4"/>
      <c r="D5" s="461" t="s">
        <v>62</v>
      </c>
      <c r="E5" s="461"/>
      <c r="F5" s="461"/>
      <c r="G5" s="461"/>
      <c r="H5" s="461"/>
      <c r="I5" s="26"/>
    </row>
    <row r="6" spans="1:10" ht="30.6" customHeight="1">
      <c r="A6" s="11">
        <v>3</v>
      </c>
      <c r="B6" s="4" t="s">
        <v>74</v>
      </c>
      <c r="C6" s="4" t="s">
        <v>75</v>
      </c>
      <c r="D6" s="450" t="s">
        <v>63</v>
      </c>
      <c r="E6" s="450"/>
      <c r="F6" s="450"/>
      <c r="G6" s="450"/>
      <c r="H6" s="450"/>
      <c r="I6" s="26"/>
    </row>
    <row r="7" spans="1:10" ht="80.25" customHeight="1">
      <c r="A7" s="11">
        <v>4</v>
      </c>
      <c r="B7" s="4" t="s">
        <v>76</v>
      </c>
      <c r="C7" s="4"/>
      <c r="D7" s="450" t="s">
        <v>221</v>
      </c>
      <c r="E7" s="450"/>
      <c r="F7" s="450"/>
      <c r="G7" s="450"/>
      <c r="H7" s="450"/>
      <c r="I7" s="26"/>
    </row>
    <row r="8" spans="1:10" ht="17.45" customHeight="1">
      <c r="A8" s="11">
        <v>5</v>
      </c>
      <c r="B8" s="4" t="s">
        <v>77</v>
      </c>
      <c r="C8" s="4"/>
      <c r="D8" s="449" t="s">
        <v>3</v>
      </c>
      <c r="E8" s="450"/>
      <c r="F8" s="450"/>
      <c r="G8" s="450"/>
      <c r="H8" s="450"/>
      <c r="I8" s="26"/>
    </row>
    <row r="9" spans="1:10" ht="17.45" customHeight="1">
      <c r="A9" s="11">
        <v>6</v>
      </c>
      <c r="B9" s="4" t="s">
        <v>78</v>
      </c>
      <c r="C9" s="4"/>
      <c r="D9" s="449" t="s">
        <v>4</v>
      </c>
      <c r="E9" s="450"/>
      <c r="F9" s="450"/>
      <c r="G9" s="450"/>
      <c r="H9" s="450"/>
      <c r="I9" s="26"/>
    </row>
    <row r="10" spans="1:10" ht="17.45" customHeight="1">
      <c r="A10" s="11">
        <v>7</v>
      </c>
      <c r="B10" s="4" t="s">
        <v>79</v>
      </c>
      <c r="C10" s="4"/>
      <c r="D10" s="450" t="s">
        <v>64</v>
      </c>
      <c r="E10" s="450"/>
      <c r="F10" s="450"/>
      <c r="G10" s="450"/>
      <c r="H10" s="450"/>
      <c r="I10" s="26"/>
    </row>
    <row r="11" spans="1:10" ht="17.45" customHeight="1">
      <c r="A11" s="11">
        <v>8</v>
      </c>
      <c r="B11" s="4" t="s">
        <v>80</v>
      </c>
      <c r="C11" s="4"/>
      <c r="D11" s="450"/>
      <c r="E11" s="450"/>
      <c r="F11" s="450"/>
      <c r="G11" s="450"/>
      <c r="H11" s="450"/>
      <c r="I11" s="26"/>
    </row>
    <row r="12" spans="1:10" ht="13.9" customHeight="1">
      <c r="A12" s="77">
        <v>8.1</v>
      </c>
      <c r="B12" s="8" t="s">
        <v>81</v>
      </c>
      <c r="C12" s="8"/>
      <c r="D12" s="451" t="s">
        <v>2</v>
      </c>
      <c r="E12" s="452"/>
      <c r="F12" s="452"/>
      <c r="G12" s="452"/>
      <c r="H12" s="452"/>
      <c r="I12" s="27"/>
    </row>
    <row r="13" spans="1:10">
      <c r="A13" s="462" t="s">
        <v>82</v>
      </c>
      <c r="B13" s="463" t="s">
        <v>83</v>
      </c>
      <c r="C13" s="24" t="s">
        <v>84</v>
      </c>
      <c r="D13" s="46">
        <v>5449421</v>
      </c>
      <c r="E13" s="47">
        <v>5449421</v>
      </c>
      <c r="F13" s="47">
        <v>5524640</v>
      </c>
      <c r="G13" s="47">
        <v>5524640</v>
      </c>
      <c r="H13" s="48">
        <f>1.46*3784*1000</f>
        <v>5524639.9999999991</v>
      </c>
      <c r="I13" s="453" t="s">
        <v>53</v>
      </c>
      <c r="J13" s="2"/>
    </row>
    <row r="14" spans="1:10">
      <c r="A14" s="462"/>
      <c r="B14" s="464"/>
      <c r="C14" s="25"/>
      <c r="D14" s="455" t="s">
        <v>52</v>
      </c>
      <c r="E14" s="456"/>
      <c r="F14" s="456"/>
      <c r="G14" s="456"/>
      <c r="H14" s="457"/>
      <c r="I14" s="454"/>
    </row>
    <row r="15" spans="1:10" ht="33.6" customHeight="1">
      <c r="A15" s="78" t="s">
        <v>85</v>
      </c>
      <c r="B15" s="9" t="s">
        <v>86</v>
      </c>
      <c r="C15" s="9"/>
      <c r="D15" s="458" t="s">
        <v>30</v>
      </c>
      <c r="E15" s="458"/>
      <c r="F15" s="458"/>
      <c r="G15" s="458"/>
      <c r="H15" s="458"/>
      <c r="I15" s="28"/>
    </row>
    <row r="16" spans="1:10" ht="13.9" customHeight="1">
      <c r="A16" s="81" t="s">
        <v>232</v>
      </c>
      <c r="B16" s="4" t="s">
        <v>87</v>
      </c>
      <c r="C16" s="4" t="s">
        <v>84</v>
      </c>
      <c r="D16" s="446" t="s">
        <v>5</v>
      </c>
      <c r="E16" s="447"/>
      <c r="F16" s="447"/>
      <c r="G16" s="447"/>
      <c r="H16" s="448"/>
      <c r="I16" s="26"/>
    </row>
    <row r="17" spans="1:9" ht="13.9" customHeight="1">
      <c r="A17" s="81" t="s">
        <v>232</v>
      </c>
      <c r="B17" s="4" t="s">
        <v>88</v>
      </c>
      <c r="C17" s="4" t="s">
        <v>84</v>
      </c>
      <c r="D17" s="446" t="s">
        <v>5</v>
      </c>
      <c r="E17" s="447"/>
      <c r="F17" s="447"/>
      <c r="G17" s="447"/>
      <c r="H17" s="448"/>
      <c r="I17" s="26"/>
    </row>
    <row r="18" spans="1:9" ht="13.9" customHeight="1">
      <c r="A18" s="81" t="s">
        <v>232</v>
      </c>
      <c r="B18" s="4" t="s">
        <v>89</v>
      </c>
      <c r="C18" s="4" t="s">
        <v>84</v>
      </c>
      <c r="D18" s="446" t="s">
        <v>5</v>
      </c>
      <c r="E18" s="447"/>
      <c r="F18" s="447"/>
      <c r="G18" s="447"/>
      <c r="H18" s="448"/>
      <c r="I18" s="26"/>
    </row>
    <row r="19" spans="1:9" ht="33" customHeight="1">
      <c r="A19" s="64" t="s">
        <v>90</v>
      </c>
      <c r="B19" s="10" t="s">
        <v>191</v>
      </c>
      <c r="C19" s="4" t="s">
        <v>91</v>
      </c>
      <c r="D19" s="461" t="s">
        <v>6</v>
      </c>
      <c r="E19" s="461"/>
      <c r="F19" s="461"/>
      <c r="G19" s="461"/>
      <c r="H19" s="461"/>
      <c r="I19" s="26"/>
    </row>
    <row r="20" spans="1:9" ht="33" customHeight="1">
      <c r="A20" s="64" t="s">
        <v>92</v>
      </c>
      <c r="B20" s="10" t="s">
        <v>7</v>
      </c>
      <c r="C20" s="4"/>
      <c r="D20" s="470" t="s">
        <v>8</v>
      </c>
      <c r="E20" s="461"/>
      <c r="F20" s="461"/>
      <c r="G20" s="461"/>
      <c r="H20" s="461"/>
      <c r="I20" s="26"/>
    </row>
    <row r="21" spans="1:9" ht="30">
      <c r="A21" s="64" t="s">
        <v>93</v>
      </c>
      <c r="B21" s="4" t="s">
        <v>94</v>
      </c>
      <c r="C21" s="31" t="s">
        <v>218</v>
      </c>
      <c r="D21" s="467" t="s">
        <v>239</v>
      </c>
      <c r="E21" s="468"/>
      <c r="F21" s="468"/>
      <c r="G21" s="468"/>
      <c r="H21" s="469"/>
      <c r="I21" s="26"/>
    </row>
    <row r="22" spans="1:9" ht="18.600000000000001" customHeight="1">
      <c r="A22" s="64" t="s">
        <v>95</v>
      </c>
      <c r="B22" s="10" t="s">
        <v>28</v>
      </c>
      <c r="C22" s="4"/>
      <c r="D22" s="88">
        <v>205483.08892152872</v>
      </c>
      <c r="E22" s="88">
        <v>432929.81040924508</v>
      </c>
      <c r="F22" s="88">
        <v>799342.3880411908</v>
      </c>
      <c r="G22" s="88">
        <v>1486611.9420221653</v>
      </c>
      <c r="H22" s="88">
        <v>1691975.6341000588</v>
      </c>
      <c r="I22" s="453" t="s">
        <v>54</v>
      </c>
    </row>
    <row r="23" spans="1:9" ht="18.600000000000001" customHeight="1">
      <c r="A23" s="64" t="s">
        <v>96</v>
      </c>
      <c r="B23" s="4" t="s">
        <v>97</v>
      </c>
      <c r="C23" s="4"/>
      <c r="D23" s="88">
        <v>13942</v>
      </c>
      <c r="E23" s="88">
        <v>13842</v>
      </c>
      <c r="F23" s="88">
        <v>13342</v>
      </c>
      <c r="G23" s="88">
        <v>13311</v>
      </c>
      <c r="H23" s="88">
        <v>25940</v>
      </c>
      <c r="I23" s="465"/>
    </row>
    <row r="24" spans="1:9" ht="17.45" customHeight="1">
      <c r="A24" s="64" t="s">
        <v>98</v>
      </c>
      <c r="B24" s="4" t="s">
        <v>99</v>
      </c>
      <c r="C24" s="4"/>
      <c r="D24" s="89">
        <f>AVERAGE(D22:D23)</f>
        <v>109712.54446076436</v>
      </c>
      <c r="E24" s="89">
        <f t="shared" ref="E24:H24" si="0">AVERAGE(E22:E23)</f>
        <v>223385.90520462254</v>
      </c>
      <c r="F24" s="89">
        <f t="shared" si="0"/>
        <v>406342.1940205954</v>
      </c>
      <c r="G24" s="89">
        <f t="shared" si="0"/>
        <v>749961.47101108264</v>
      </c>
      <c r="H24" s="89">
        <f t="shared" si="0"/>
        <v>858957.81705002941</v>
      </c>
      <c r="I24" s="466"/>
    </row>
    <row r="25" spans="1:9" ht="13.9" customHeight="1">
      <c r="A25" s="79">
        <v>8.1999999999999993</v>
      </c>
      <c r="B25" s="4" t="s">
        <v>100</v>
      </c>
      <c r="C25" s="4"/>
      <c r="D25" s="461" t="s">
        <v>9</v>
      </c>
      <c r="E25" s="461"/>
      <c r="F25" s="461"/>
      <c r="G25" s="461"/>
      <c r="H25" s="461"/>
      <c r="I25" s="26"/>
    </row>
    <row r="26" spans="1:9" ht="15.6" customHeight="1">
      <c r="A26" s="64" t="s">
        <v>101</v>
      </c>
      <c r="B26" s="10" t="s">
        <v>203</v>
      </c>
      <c r="C26" s="10" t="s">
        <v>204</v>
      </c>
      <c r="D26" s="7">
        <f>3.5*3784</f>
        <v>13244</v>
      </c>
      <c r="E26" s="7">
        <f>3.5*3784</f>
        <v>13244</v>
      </c>
      <c r="F26" s="7">
        <f>1.5*3784</f>
        <v>5676</v>
      </c>
      <c r="G26" s="7">
        <f>1.5*3784</f>
        <v>5676</v>
      </c>
      <c r="H26" s="7">
        <f>1.5*3784</f>
        <v>5676</v>
      </c>
      <c r="I26" s="29" t="s">
        <v>55</v>
      </c>
    </row>
    <row r="27" spans="1:9" ht="16.899999999999999" customHeight="1">
      <c r="A27" s="64" t="s">
        <v>102</v>
      </c>
      <c r="B27" s="4" t="s">
        <v>103</v>
      </c>
      <c r="C27" s="4"/>
      <c r="D27" s="450" t="s">
        <v>50</v>
      </c>
      <c r="E27" s="450"/>
      <c r="F27" s="450"/>
      <c r="G27" s="450"/>
      <c r="H27" s="450"/>
      <c r="I27" s="26"/>
    </row>
    <row r="28" spans="1:9" ht="28.15" customHeight="1">
      <c r="A28" s="64" t="s">
        <v>104</v>
      </c>
      <c r="B28" s="15" t="s">
        <v>191</v>
      </c>
      <c r="C28" s="15" t="s">
        <v>219</v>
      </c>
      <c r="D28" s="476" t="s">
        <v>29</v>
      </c>
      <c r="E28" s="476"/>
      <c r="F28" s="476"/>
      <c r="G28" s="476"/>
      <c r="H28" s="476"/>
      <c r="I28" s="26"/>
    </row>
    <row r="29" spans="1:9" ht="16.899999999999999" customHeight="1">
      <c r="A29" s="64" t="s">
        <v>105</v>
      </c>
      <c r="B29" s="10" t="s">
        <v>7</v>
      </c>
      <c r="C29" s="4"/>
      <c r="D29" s="475" t="s">
        <v>31</v>
      </c>
      <c r="E29" s="476"/>
      <c r="F29" s="476"/>
      <c r="G29" s="476"/>
      <c r="H29" s="476"/>
      <c r="I29" s="26"/>
    </row>
    <row r="30" spans="1:9" ht="31.15" customHeight="1">
      <c r="A30" s="64" t="s">
        <v>106</v>
      </c>
      <c r="B30" s="4" t="s">
        <v>107</v>
      </c>
      <c r="C30" s="4" t="s">
        <v>108</v>
      </c>
      <c r="D30" s="477" t="s">
        <v>10</v>
      </c>
      <c r="E30" s="478"/>
      <c r="F30" s="478"/>
      <c r="G30" s="478"/>
      <c r="H30" s="479"/>
      <c r="I30" s="26"/>
    </row>
    <row r="31" spans="1:9" ht="30">
      <c r="A31" s="64" t="s">
        <v>109</v>
      </c>
      <c r="B31" s="4" t="s">
        <v>110</v>
      </c>
      <c r="C31" s="4" t="s">
        <v>111</v>
      </c>
      <c r="D31" s="7" t="s">
        <v>38</v>
      </c>
      <c r="E31" s="7" t="s">
        <v>39</v>
      </c>
      <c r="F31" s="7" t="s">
        <v>192</v>
      </c>
      <c r="G31" s="7" t="s">
        <v>193</v>
      </c>
      <c r="H31" s="7" t="s">
        <v>40</v>
      </c>
      <c r="I31" s="472" t="s">
        <v>56</v>
      </c>
    </row>
    <row r="32" spans="1:9" ht="32.450000000000003" customHeight="1">
      <c r="A32" s="64" t="s">
        <v>112</v>
      </c>
      <c r="B32" s="4" t="s">
        <v>113</v>
      </c>
      <c r="C32" s="4" t="s">
        <v>111</v>
      </c>
      <c r="D32" s="7" t="s">
        <v>41</v>
      </c>
      <c r="E32" s="7" t="s">
        <v>42</v>
      </c>
      <c r="F32" s="7" t="s">
        <v>43</v>
      </c>
      <c r="G32" s="7" t="s">
        <v>44</v>
      </c>
      <c r="H32" s="7" t="s">
        <v>45</v>
      </c>
      <c r="I32" s="473"/>
    </row>
    <row r="33" spans="1:9" ht="30">
      <c r="A33" s="64" t="s">
        <v>114</v>
      </c>
      <c r="B33" s="4" t="s">
        <v>115</v>
      </c>
      <c r="C33" s="4" t="s">
        <v>111</v>
      </c>
      <c r="D33" s="7" t="s">
        <v>46</v>
      </c>
      <c r="E33" s="7" t="s">
        <v>234</v>
      </c>
      <c r="F33" s="7" t="s">
        <v>47</v>
      </c>
      <c r="G33" s="7" t="s">
        <v>48</v>
      </c>
      <c r="H33" s="7" t="s">
        <v>49</v>
      </c>
      <c r="I33" s="474"/>
    </row>
    <row r="34" spans="1:9" ht="13.9" customHeight="1">
      <c r="A34" s="80">
        <v>9</v>
      </c>
      <c r="B34" s="4" t="s">
        <v>116</v>
      </c>
      <c r="C34" s="4"/>
      <c r="D34" s="471"/>
      <c r="E34" s="471"/>
      <c r="F34" s="471"/>
      <c r="G34" s="471"/>
      <c r="H34" s="471"/>
      <c r="I34" s="26"/>
    </row>
    <row r="35" spans="1:9" ht="32.25" customHeight="1">
      <c r="A35" s="79">
        <v>9.1</v>
      </c>
      <c r="B35" s="4" t="s">
        <v>117</v>
      </c>
      <c r="C35" s="45" t="s">
        <v>220</v>
      </c>
      <c r="D35" s="7" t="s">
        <v>237</v>
      </c>
      <c r="E35" s="7" t="s">
        <v>237</v>
      </c>
      <c r="F35" s="7" t="s">
        <v>237</v>
      </c>
      <c r="G35" s="7" t="s">
        <v>237</v>
      </c>
      <c r="H35" s="7" t="s">
        <v>237</v>
      </c>
      <c r="I35" s="26"/>
    </row>
    <row r="36" spans="1:9" ht="31.5" customHeight="1">
      <c r="A36" s="79">
        <v>9.1999999999999993</v>
      </c>
      <c r="B36" s="4" t="s">
        <v>119</v>
      </c>
      <c r="C36" s="4" t="s">
        <v>118</v>
      </c>
      <c r="D36" s="7" t="s">
        <v>237</v>
      </c>
      <c r="E36" s="7" t="s">
        <v>237</v>
      </c>
      <c r="F36" s="7" t="s">
        <v>237</v>
      </c>
      <c r="G36" s="7" t="s">
        <v>237</v>
      </c>
      <c r="H36" s="7" t="s">
        <v>237</v>
      </c>
      <c r="I36" s="26"/>
    </row>
  </sheetData>
  <mergeCells count="29">
    <mergeCell ref="D34:H34"/>
    <mergeCell ref="I31:I33"/>
    <mergeCell ref="D29:H29"/>
    <mergeCell ref="D30:H30"/>
    <mergeCell ref="D27:H27"/>
    <mergeCell ref="D28:H28"/>
    <mergeCell ref="D25:H25"/>
    <mergeCell ref="I22:I24"/>
    <mergeCell ref="D21:H21"/>
    <mergeCell ref="D19:H19"/>
    <mergeCell ref="D20:H20"/>
    <mergeCell ref="I13:I14"/>
    <mergeCell ref="D14:H14"/>
    <mergeCell ref="D15:H15"/>
    <mergeCell ref="A2:H2"/>
    <mergeCell ref="D16:H16"/>
    <mergeCell ref="D4:H4"/>
    <mergeCell ref="D5:H5"/>
    <mergeCell ref="A13:A14"/>
    <mergeCell ref="B13:B14"/>
    <mergeCell ref="D17:H17"/>
    <mergeCell ref="D18:H18"/>
    <mergeCell ref="D8:H8"/>
    <mergeCell ref="D9:H9"/>
    <mergeCell ref="D6:H6"/>
    <mergeCell ref="D7:H7"/>
    <mergeCell ref="D12:H12"/>
    <mergeCell ref="D10:H10"/>
    <mergeCell ref="D11:H11"/>
  </mergeCells>
  <printOptions horizontalCentered="1"/>
  <pageMargins left="0.11811023622047245" right="0.11811023622047245" top="0.27559055118110237" bottom="0.23622047244094491" header="0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3"/>
  <sheetViews>
    <sheetView topLeftCell="A27" workbookViewId="0">
      <selection activeCell="O33" sqref="O33"/>
    </sheetView>
  </sheetViews>
  <sheetFormatPr defaultColWidth="8.83203125" defaultRowHeight="15"/>
  <cols>
    <col min="1" max="1" width="8.5" style="57" customWidth="1"/>
    <col min="2" max="2" width="19.83203125" style="38" customWidth="1"/>
    <col min="3" max="3" width="20.6640625" style="38" customWidth="1"/>
    <col min="4" max="4" width="11" style="57" customWidth="1"/>
    <col min="5" max="7" width="13.6640625" style="38" bestFit="1" customWidth="1"/>
    <col min="8" max="8" width="15.1640625" style="38" customWidth="1"/>
    <col min="9" max="9" width="12.1640625" style="38" customWidth="1"/>
    <col min="10" max="10" width="21.83203125" style="38" hidden="1" customWidth="1"/>
    <col min="11" max="11" width="12.6640625" style="38" bestFit="1" customWidth="1"/>
    <col min="12" max="12" width="11.5" style="38" bestFit="1" customWidth="1"/>
    <col min="13" max="16384" width="8.83203125" style="38"/>
  </cols>
  <sheetData>
    <row r="1" spans="1:12">
      <c r="A1" s="57" t="s">
        <v>235</v>
      </c>
      <c r="B1" s="38" t="s">
        <v>236</v>
      </c>
      <c r="H1" s="49" t="s">
        <v>205</v>
      </c>
    </row>
    <row r="2" spans="1:12" ht="17.100000000000001" customHeight="1">
      <c r="A2" s="14"/>
      <c r="B2" s="480" t="s">
        <v>194</v>
      </c>
      <c r="C2" s="481"/>
      <c r="D2" s="14" t="s">
        <v>195</v>
      </c>
      <c r="E2" s="36" t="s">
        <v>68</v>
      </c>
      <c r="F2" s="36" t="s">
        <v>69</v>
      </c>
      <c r="G2" s="36" t="s">
        <v>70</v>
      </c>
      <c r="H2" s="36" t="s">
        <v>71</v>
      </c>
      <c r="I2" s="36" t="s">
        <v>72</v>
      </c>
      <c r="J2" s="51"/>
    </row>
    <row r="3" spans="1:12">
      <c r="A3" s="52">
        <v>10</v>
      </c>
      <c r="B3" s="482" t="s">
        <v>120</v>
      </c>
      <c r="C3" s="483"/>
      <c r="D3" s="14"/>
      <c r="E3" s="43"/>
      <c r="F3" s="43"/>
      <c r="G3" s="43"/>
      <c r="H3" s="43"/>
      <c r="I3" s="43"/>
      <c r="J3" s="51"/>
    </row>
    <row r="4" spans="1:12" ht="30" customHeight="1">
      <c r="A4" s="61">
        <v>10.1</v>
      </c>
      <c r="B4" s="482" t="s">
        <v>121</v>
      </c>
      <c r="C4" s="483"/>
      <c r="D4" s="14" t="s">
        <v>122</v>
      </c>
      <c r="E4" s="19">
        <v>4035.136199</v>
      </c>
      <c r="F4" s="19">
        <v>4058.6019999999999</v>
      </c>
      <c r="G4" s="19">
        <v>3631.2849000000001</v>
      </c>
      <c r="H4" s="19">
        <v>3160.9832000000001</v>
      </c>
      <c r="I4" s="19">
        <v>3696.5299129999999</v>
      </c>
      <c r="J4" s="51"/>
    </row>
    <row r="5" spans="1:12" ht="17.100000000000001" customHeight="1">
      <c r="A5" s="61">
        <v>10.199999999999999</v>
      </c>
      <c r="B5" s="482" t="s">
        <v>123</v>
      </c>
      <c r="C5" s="483"/>
      <c r="D5" s="14" t="s">
        <v>122</v>
      </c>
      <c r="E5" s="92">
        <v>3216.5846120020083</v>
      </c>
      <c r="F5" s="19">
        <v>3277.8348042053799</v>
      </c>
      <c r="G5" s="19">
        <v>2876.18976313136</v>
      </c>
      <c r="H5" s="19">
        <v>2471.6755280000002</v>
      </c>
      <c r="I5" s="19">
        <v>2968.0801101542302</v>
      </c>
      <c r="J5" s="51"/>
    </row>
    <row r="6" spans="1:12" ht="17.100000000000001" customHeight="1">
      <c r="A6" s="61">
        <v>10.3</v>
      </c>
      <c r="B6" s="482" t="s">
        <v>124</v>
      </c>
      <c r="C6" s="483"/>
      <c r="D6" s="14" t="s">
        <v>122</v>
      </c>
      <c r="E6" s="53">
        <v>3188.41501887505</v>
      </c>
      <c r="F6" s="19">
        <v>3271.1025</v>
      </c>
      <c r="G6" s="19">
        <v>2850.5715</v>
      </c>
      <c r="H6" s="19">
        <v>2486.5949999999998</v>
      </c>
      <c r="I6" s="19">
        <v>3004.6253953573005</v>
      </c>
      <c r="J6" s="51"/>
    </row>
    <row r="7" spans="1:12" ht="17.100000000000001" customHeight="1">
      <c r="A7" s="52">
        <v>11</v>
      </c>
      <c r="B7" s="482" t="s">
        <v>125</v>
      </c>
      <c r="C7" s="483"/>
      <c r="D7" s="14" t="s">
        <v>75</v>
      </c>
      <c r="E7" s="53">
        <f>E6/(365*24)*1000</f>
        <v>363.97431722317924</v>
      </c>
      <c r="F7" s="19">
        <f>3272.0625/(365*24)*1000</f>
        <v>373.52311643835617</v>
      </c>
      <c r="G7" s="19">
        <f>2851.097/(365*24)*1000</f>
        <v>325.46769406392696</v>
      </c>
      <c r="H7" s="19">
        <f>2486.595/(366*24)*1000</f>
        <v>283.08230874316939</v>
      </c>
      <c r="I7" s="19">
        <f>3004.6253953573/(365*24)*1000</f>
        <v>342.99376659329909</v>
      </c>
      <c r="J7" s="51"/>
    </row>
    <row r="8" spans="1:12" ht="31.15" customHeight="1">
      <c r="A8" s="52">
        <v>12</v>
      </c>
      <c r="B8" s="482" t="s">
        <v>126</v>
      </c>
      <c r="C8" s="483"/>
      <c r="D8" s="14" t="s">
        <v>122</v>
      </c>
      <c r="E8" s="19">
        <v>465.98164682382901</v>
      </c>
      <c r="F8" s="19">
        <v>463.63068554991997</v>
      </c>
      <c r="G8" s="19">
        <v>438.18409961103998</v>
      </c>
      <c r="H8" s="19">
        <v>384.03767154543999</v>
      </c>
      <c r="I8" s="19">
        <v>439.67873332572799</v>
      </c>
      <c r="J8" s="51"/>
    </row>
    <row r="9" spans="1:12" ht="31.15" customHeight="1">
      <c r="A9" s="52">
        <v>13</v>
      </c>
      <c r="B9" s="484" t="s">
        <v>188</v>
      </c>
      <c r="C9" s="483"/>
      <c r="D9" s="14" t="s">
        <v>122</v>
      </c>
      <c r="E9" s="85">
        <v>122.49720000000001</v>
      </c>
      <c r="F9" s="85">
        <v>115.88535</v>
      </c>
      <c r="G9" s="85">
        <v>114.66630000000001</v>
      </c>
      <c r="H9" s="85">
        <f>103.25295+0.86325+1.72185</f>
        <v>105.83805</v>
      </c>
      <c r="I9" s="85">
        <f>88.42905+16.8822</f>
        <v>105.31125</v>
      </c>
      <c r="J9" s="51"/>
      <c r="K9" s="83"/>
      <c r="L9" s="84"/>
    </row>
    <row r="10" spans="1:12" ht="17.100000000000001" customHeight="1">
      <c r="A10" s="52">
        <v>14</v>
      </c>
      <c r="B10" s="482" t="s">
        <v>81</v>
      </c>
      <c r="C10" s="483"/>
      <c r="D10" s="14"/>
      <c r="E10" s="461" t="s">
        <v>2</v>
      </c>
      <c r="F10" s="461"/>
      <c r="G10" s="461"/>
      <c r="H10" s="461"/>
      <c r="I10" s="461"/>
      <c r="J10" s="51"/>
    </row>
    <row r="11" spans="1:12" ht="17.100000000000001" customHeight="1">
      <c r="A11" s="61">
        <v>14.1</v>
      </c>
      <c r="B11" s="482" t="s">
        <v>127</v>
      </c>
      <c r="C11" s="483"/>
      <c r="D11" s="14" t="s">
        <v>11</v>
      </c>
      <c r="E11" s="40"/>
      <c r="F11" s="43"/>
      <c r="G11" s="43"/>
      <c r="H11" s="43"/>
      <c r="I11" s="43"/>
      <c r="J11" s="51"/>
      <c r="K11" s="82"/>
    </row>
    <row r="12" spans="1:12" ht="29.45" customHeight="1">
      <c r="A12" s="493">
        <v>41640</v>
      </c>
      <c r="B12" s="495" t="s">
        <v>14</v>
      </c>
      <c r="C12" s="54" t="s">
        <v>128</v>
      </c>
      <c r="D12" s="14" t="s">
        <v>84</v>
      </c>
      <c r="E12" s="55">
        <v>5871092</v>
      </c>
      <c r="F12" s="55">
        <v>5930488</v>
      </c>
      <c r="G12" s="55">
        <v>5330712.96</v>
      </c>
      <c r="H12" s="55">
        <v>4862307.38</v>
      </c>
      <c r="I12" s="55">
        <v>5782495.0099999998</v>
      </c>
      <c r="J12" s="51"/>
    </row>
    <row r="13" spans="1:12" ht="33" customHeight="1">
      <c r="A13" s="494"/>
      <c r="B13" s="492"/>
      <c r="C13" s="54" t="s">
        <v>129</v>
      </c>
      <c r="D13" s="14" t="s">
        <v>84</v>
      </c>
      <c r="E13" s="36" t="s">
        <v>5</v>
      </c>
      <c r="F13" s="36" t="s">
        <v>5</v>
      </c>
      <c r="G13" s="36" t="s">
        <v>5</v>
      </c>
      <c r="H13" s="36" t="s">
        <v>5</v>
      </c>
      <c r="I13" s="36" t="s">
        <v>5</v>
      </c>
      <c r="J13" s="51"/>
    </row>
    <row r="14" spans="1:12" ht="17.100000000000001" customHeight="1">
      <c r="A14" s="56">
        <v>41641</v>
      </c>
      <c r="B14" s="482" t="s">
        <v>130</v>
      </c>
      <c r="C14" s="483"/>
      <c r="D14" s="14" t="s">
        <v>84</v>
      </c>
      <c r="E14" s="36" t="s">
        <v>5</v>
      </c>
      <c r="F14" s="36" t="s">
        <v>5</v>
      </c>
      <c r="G14" s="36" t="s">
        <v>5</v>
      </c>
      <c r="H14" s="36" t="s">
        <v>5</v>
      </c>
      <c r="I14" s="36" t="s">
        <v>5</v>
      </c>
      <c r="J14" s="51"/>
    </row>
    <row r="15" spans="1:12" ht="17.100000000000001" customHeight="1">
      <c r="A15" s="56">
        <v>41642</v>
      </c>
      <c r="B15" s="482" t="s">
        <v>131</v>
      </c>
      <c r="C15" s="483"/>
      <c r="D15" s="14" t="s">
        <v>84</v>
      </c>
      <c r="E15" s="36" t="s">
        <v>5</v>
      </c>
      <c r="F15" s="36" t="s">
        <v>5</v>
      </c>
      <c r="G15" s="36" t="s">
        <v>5</v>
      </c>
      <c r="H15" s="36" t="s">
        <v>5</v>
      </c>
      <c r="I15" s="36" t="s">
        <v>5</v>
      </c>
      <c r="J15" s="51"/>
    </row>
    <row r="16" spans="1:12" ht="17.100000000000001" customHeight="1">
      <c r="A16" s="61">
        <v>14.2</v>
      </c>
      <c r="B16" s="482" t="s">
        <v>132</v>
      </c>
      <c r="C16" s="483"/>
      <c r="D16" s="14"/>
      <c r="E16" s="40"/>
      <c r="F16" s="43"/>
      <c r="G16" s="43"/>
      <c r="H16" s="43"/>
      <c r="I16" s="43"/>
      <c r="J16" s="51"/>
    </row>
    <row r="17" spans="1:10" ht="26.25" customHeight="1">
      <c r="A17" s="496">
        <v>41671</v>
      </c>
      <c r="B17" s="499" t="s">
        <v>14</v>
      </c>
      <c r="C17" s="18" t="s">
        <v>133</v>
      </c>
      <c r="D17" s="14" t="s">
        <v>134</v>
      </c>
      <c r="E17" s="33" t="s">
        <v>12</v>
      </c>
      <c r="F17" s="33" t="s">
        <v>13</v>
      </c>
      <c r="G17" s="36" t="s">
        <v>13</v>
      </c>
      <c r="H17" s="36" t="s">
        <v>13</v>
      </c>
      <c r="I17" s="36" t="s">
        <v>13</v>
      </c>
      <c r="J17" s="51"/>
    </row>
    <row r="18" spans="1:10" ht="26.25" customHeight="1">
      <c r="A18" s="497"/>
      <c r="B18" s="500"/>
      <c r="C18" s="91" t="s">
        <v>240</v>
      </c>
      <c r="D18" s="14" t="s">
        <v>134</v>
      </c>
      <c r="E18" s="19">
        <v>2670.09</v>
      </c>
      <c r="F18" s="19">
        <v>2663.7068010621902</v>
      </c>
      <c r="G18" s="19">
        <v>2675.0040653292399</v>
      </c>
      <c r="H18" s="19">
        <v>2658</v>
      </c>
      <c r="I18" s="19">
        <v>2568.50600429216</v>
      </c>
      <c r="J18" s="51"/>
    </row>
    <row r="19" spans="1:10" ht="26.25" customHeight="1">
      <c r="A19" s="498"/>
      <c r="B19" s="501"/>
      <c r="C19" s="18" t="s">
        <v>136</v>
      </c>
      <c r="D19" s="14" t="s">
        <v>134</v>
      </c>
      <c r="E19" s="33" t="s">
        <v>12</v>
      </c>
      <c r="F19" s="33" t="s">
        <v>13</v>
      </c>
      <c r="G19" s="36" t="s">
        <v>13</v>
      </c>
      <c r="H19" s="36" t="s">
        <v>13</v>
      </c>
      <c r="I19" s="36" t="s">
        <v>13</v>
      </c>
      <c r="J19" s="51"/>
    </row>
    <row r="20" spans="1:10" ht="33.75" customHeight="1">
      <c r="A20" s="493">
        <v>41672</v>
      </c>
      <c r="B20" s="499" t="s">
        <v>27</v>
      </c>
      <c r="C20" s="18" t="s">
        <v>133</v>
      </c>
      <c r="D20" s="14" t="s">
        <v>134</v>
      </c>
      <c r="E20" s="36" t="s">
        <v>5</v>
      </c>
      <c r="F20" s="36" t="s">
        <v>5</v>
      </c>
      <c r="G20" s="36" t="s">
        <v>5</v>
      </c>
      <c r="H20" s="36" t="s">
        <v>5</v>
      </c>
      <c r="I20" s="36" t="s">
        <v>5</v>
      </c>
      <c r="J20" s="51"/>
    </row>
    <row r="21" spans="1:10" ht="33.75" customHeight="1">
      <c r="A21" s="494"/>
      <c r="B21" s="501"/>
      <c r="C21" s="18" t="s">
        <v>135</v>
      </c>
      <c r="D21" s="14" t="s">
        <v>134</v>
      </c>
      <c r="E21" s="36" t="s">
        <v>5</v>
      </c>
      <c r="F21" s="36" t="s">
        <v>5</v>
      </c>
      <c r="G21" s="36" t="s">
        <v>5</v>
      </c>
      <c r="H21" s="36" t="s">
        <v>5</v>
      </c>
      <c r="I21" s="36" t="s">
        <v>5</v>
      </c>
      <c r="J21" s="51"/>
    </row>
    <row r="22" spans="1:10" ht="28.5" customHeight="1">
      <c r="A22" s="493">
        <v>41673</v>
      </c>
      <c r="B22" s="491" t="s">
        <v>230</v>
      </c>
      <c r="C22" s="18" t="s">
        <v>133</v>
      </c>
      <c r="D22" s="14" t="s">
        <v>134</v>
      </c>
      <c r="E22" s="36" t="s">
        <v>5</v>
      </c>
      <c r="F22" s="36" t="s">
        <v>5</v>
      </c>
      <c r="G22" s="36" t="s">
        <v>5</v>
      </c>
      <c r="H22" s="36" t="s">
        <v>5</v>
      </c>
      <c r="I22" s="36" t="s">
        <v>5</v>
      </c>
      <c r="J22" s="51"/>
    </row>
    <row r="23" spans="1:10" ht="28.5" customHeight="1">
      <c r="A23" s="494"/>
      <c r="B23" s="492"/>
      <c r="C23" s="18" t="s">
        <v>135</v>
      </c>
      <c r="D23" s="14" t="s">
        <v>134</v>
      </c>
      <c r="E23" s="36" t="s">
        <v>5</v>
      </c>
      <c r="F23" s="36" t="s">
        <v>5</v>
      </c>
      <c r="G23" s="36" t="s">
        <v>5</v>
      </c>
      <c r="H23" s="36" t="s">
        <v>5</v>
      </c>
      <c r="I23" s="36" t="s">
        <v>5</v>
      </c>
      <c r="J23" s="51"/>
    </row>
    <row r="24" spans="1:10" ht="29.45" customHeight="1">
      <c r="A24" s="56">
        <v>41674</v>
      </c>
      <c r="B24" s="484" t="s">
        <v>196</v>
      </c>
      <c r="C24" s="483"/>
      <c r="D24" s="14" t="s">
        <v>134</v>
      </c>
      <c r="E24" s="35" t="s">
        <v>13</v>
      </c>
      <c r="F24" s="62" t="s">
        <v>13</v>
      </c>
      <c r="G24" s="35" t="s">
        <v>13</v>
      </c>
      <c r="H24" s="35" t="s">
        <v>13</v>
      </c>
      <c r="I24" s="35" t="s">
        <v>13</v>
      </c>
      <c r="J24" s="51"/>
    </row>
    <row r="25" spans="1:10" ht="30" customHeight="1">
      <c r="A25" s="56">
        <v>41675</v>
      </c>
      <c r="B25" s="484" t="s">
        <v>197</v>
      </c>
      <c r="C25" s="483"/>
      <c r="D25" s="14" t="s">
        <v>134</v>
      </c>
      <c r="E25" s="19">
        <v>2670.09</v>
      </c>
      <c r="F25" s="19">
        <v>2663.7068010621902</v>
      </c>
      <c r="G25" s="19">
        <v>2675.0040653292399</v>
      </c>
      <c r="H25" s="19">
        <v>2658</v>
      </c>
      <c r="I25" s="19">
        <v>2568.50600429216</v>
      </c>
      <c r="J25" s="51"/>
    </row>
    <row r="26" spans="1:10" ht="32.25" customHeight="1">
      <c r="A26" s="56">
        <v>41676</v>
      </c>
      <c r="B26" s="484" t="s">
        <v>198</v>
      </c>
      <c r="C26" s="483"/>
      <c r="D26" s="14" t="s">
        <v>134</v>
      </c>
      <c r="E26" s="35" t="s">
        <v>13</v>
      </c>
      <c r="F26" s="62" t="s">
        <v>13</v>
      </c>
      <c r="G26" s="35" t="s">
        <v>13</v>
      </c>
      <c r="H26" s="35" t="s">
        <v>13</v>
      </c>
      <c r="I26" s="35" t="s">
        <v>13</v>
      </c>
      <c r="J26" s="51"/>
    </row>
    <row r="27" spans="1:10" ht="21" customHeight="1">
      <c r="A27" s="61">
        <v>14.3</v>
      </c>
      <c r="B27" s="482" t="s">
        <v>137</v>
      </c>
      <c r="C27" s="483"/>
      <c r="D27" s="14"/>
      <c r="E27" s="40"/>
      <c r="F27" s="43"/>
      <c r="G27" s="43"/>
      <c r="H27" s="43"/>
      <c r="I27" s="43"/>
      <c r="J27" s="51"/>
    </row>
    <row r="28" spans="1:10" ht="30" customHeight="1">
      <c r="A28" s="56">
        <v>41699</v>
      </c>
      <c r="B28" s="484" t="s">
        <v>199</v>
      </c>
      <c r="C28" s="483"/>
      <c r="D28" s="16" t="s">
        <v>222</v>
      </c>
      <c r="E28" s="40">
        <v>1411</v>
      </c>
      <c r="F28" s="40">
        <v>1524</v>
      </c>
      <c r="G28" s="40">
        <v>1917</v>
      </c>
      <c r="H28" s="40">
        <v>2338</v>
      </c>
      <c r="I28" s="40">
        <v>2616</v>
      </c>
      <c r="J28" s="51"/>
    </row>
    <row r="29" spans="1:10" ht="33" customHeight="1">
      <c r="A29" s="56">
        <v>41700</v>
      </c>
      <c r="B29" s="484" t="s">
        <v>200</v>
      </c>
      <c r="C29" s="483"/>
      <c r="D29" s="16" t="s">
        <v>222</v>
      </c>
      <c r="E29" s="36" t="s">
        <v>5</v>
      </c>
      <c r="F29" s="36" t="s">
        <v>5</v>
      </c>
      <c r="G29" s="36" t="s">
        <v>5</v>
      </c>
      <c r="H29" s="36" t="s">
        <v>5</v>
      </c>
      <c r="I29" s="36" t="s">
        <v>5</v>
      </c>
      <c r="J29" s="51"/>
    </row>
    <row r="30" spans="1:10" ht="32.450000000000003" customHeight="1">
      <c r="A30" s="56">
        <v>41701</v>
      </c>
      <c r="B30" s="484" t="s">
        <v>201</v>
      </c>
      <c r="C30" s="483"/>
      <c r="D30" s="16" t="s">
        <v>222</v>
      </c>
      <c r="E30" s="36" t="s">
        <v>5</v>
      </c>
      <c r="F30" s="36" t="s">
        <v>5</v>
      </c>
      <c r="G30" s="36" t="s">
        <v>5</v>
      </c>
      <c r="H30" s="36" t="s">
        <v>5</v>
      </c>
      <c r="I30" s="36" t="s">
        <v>5</v>
      </c>
      <c r="J30" s="51"/>
    </row>
    <row r="31" spans="1:10" ht="32.450000000000003" customHeight="1">
      <c r="A31" s="56">
        <v>41702</v>
      </c>
      <c r="B31" s="484" t="s">
        <v>202</v>
      </c>
      <c r="C31" s="483"/>
      <c r="D31" s="16" t="s">
        <v>222</v>
      </c>
      <c r="E31" s="40">
        <v>1411</v>
      </c>
      <c r="F31" s="40">
        <v>1524</v>
      </c>
      <c r="G31" s="40">
        <v>1917</v>
      </c>
      <c r="H31" s="40">
        <v>2338</v>
      </c>
      <c r="I31" s="40">
        <v>2616</v>
      </c>
      <c r="J31" s="51"/>
    </row>
    <row r="32" spans="1:10" ht="55.5" customHeight="1">
      <c r="A32" s="61">
        <v>14.4</v>
      </c>
      <c r="B32" s="482" t="s">
        <v>138</v>
      </c>
      <c r="C32" s="483"/>
      <c r="D32" s="59" t="s">
        <v>228</v>
      </c>
      <c r="E32" s="36"/>
      <c r="F32" s="36"/>
      <c r="G32" s="36"/>
      <c r="H32" s="36"/>
      <c r="I32" s="36"/>
      <c r="J32" s="51"/>
    </row>
    <row r="33" spans="1:11" ht="57.75" customHeight="1">
      <c r="A33" s="56">
        <v>41730</v>
      </c>
      <c r="B33" s="482" t="s">
        <v>139</v>
      </c>
      <c r="C33" s="483"/>
      <c r="D33" s="59" t="s">
        <v>241</v>
      </c>
      <c r="E33" s="36" t="s">
        <v>5</v>
      </c>
      <c r="F33" s="36" t="s">
        <v>5</v>
      </c>
      <c r="G33" s="36" t="s">
        <v>5</v>
      </c>
      <c r="H33" s="36" t="s">
        <v>5</v>
      </c>
      <c r="I33" s="36" t="s">
        <v>5</v>
      </c>
      <c r="J33" s="51"/>
    </row>
    <row r="34" spans="1:11" ht="32.450000000000003" customHeight="1">
      <c r="A34" s="56">
        <v>41731</v>
      </c>
      <c r="B34" s="482" t="s">
        <v>140</v>
      </c>
      <c r="C34" s="483"/>
      <c r="D34" s="14"/>
      <c r="E34" s="36" t="s">
        <v>5</v>
      </c>
      <c r="F34" s="36" t="s">
        <v>5</v>
      </c>
      <c r="G34" s="36" t="s">
        <v>5</v>
      </c>
      <c r="H34" s="36" t="s">
        <v>5</v>
      </c>
      <c r="I34" s="36" t="s">
        <v>5</v>
      </c>
      <c r="J34" s="51"/>
    </row>
    <row r="35" spans="1:11" ht="44.45" customHeight="1">
      <c r="A35" s="61">
        <v>14.5</v>
      </c>
      <c r="B35" s="484" t="s">
        <v>15</v>
      </c>
      <c r="C35" s="483"/>
      <c r="D35" s="16" t="s">
        <v>11</v>
      </c>
      <c r="E35" s="90">
        <v>109712.54446076436</v>
      </c>
      <c r="F35" s="90">
        <v>223385.90520462254</v>
      </c>
      <c r="G35" s="90">
        <v>406342.1940205954</v>
      </c>
      <c r="H35" s="90">
        <v>749961.47101108264</v>
      </c>
      <c r="I35" s="90">
        <v>858957.81705002941</v>
      </c>
      <c r="J35" s="51"/>
    </row>
    <row r="36" spans="1:11" ht="30" customHeight="1">
      <c r="A36" s="61">
        <v>14.5</v>
      </c>
      <c r="B36" s="482" t="s">
        <v>141</v>
      </c>
      <c r="C36" s="483"/>
      <c r="D36" s="14" t="s">
        <v>142</v>
      </c>
      <c r="E36" s="33" t="s">
        <v>13</v>
      </c>
      <c r="F36" s="33" t="s">
        <v>13</v>
      </c>
      <c r="G36" s="33" t="s">
        <v>12</v>
      </c>
      <c r="H36" s="33" t="s">
        <v>12</v>
      </c>
      <c r="I36" s="33" t="s">
        <v>12</v>
      </c>
      <c r="J36" s="51" t="s">
        <v>32</v>
      </c>
      <c r="K36" s="3"/>
    </row>
    <row r="37" spans="1:11" ht="19.149999999999999" customHeight="1">
      <c r="A37" s="56">
        <v>41760</v>
      </c>
      <c r="B37" s="482" t="s">
        <v>143</v>
      </c>
      <c r="C37" s="483"/>
      <c r="D37" s="14"/>
      <c r="E37" s="33" t="s">
        <v>13</v>
      </c>
      <c r="F37" s="33" t="s">
        <v>13</v>
      </c>
      <c r="G37" s="33" t="s">
        <v>12</v>
      </c>
      <c r="H37" s="33" t="s">
        <v>12</v>
      </c>
      <c r="I37" s="33" t="s">
        <v>12</v>
      </c>
      <c r="J37" s="51"/>
    </row>
    <row r="38" spans="1:11" ht="29.45" customHeight="1">
      <c r="A38" s="14" t="s">
        <v>144</v>
      </c>
      <c r="B38" s="482" t="s">
        <v>145</v>
      </c>
      <c r="C38" s="483"/>
      <c r="D38" s="14"/>
      <c r="E38" s="33" t="s">
        <v>13</v>
      </c>
      <c r="F38" s="33" t="s">
        <v>13</v>
      </c>
      <c r="G38" s="33" t="s">
        <v>12</v>
      </c>
      <c r="H38" s="33" t="s">
        <v>12</v>
      </c>
      <c r="I38" s="33" t="s">
        <v>12</v>
      </c>
      <c r="J38" s="51"/>
    </row>
    <row r="39" spans="1:11" ht="29.45" customHeight="1">
      <c r="A39" s="14" t="s">
        <v>146</v>
      </c>
      <c r="B39" s="484" t="s">
        <v>216</v>
      </c>
      <c r="C39" s="483"/>
      <c r="D39" s="14"/>
      <c r="E39" s="36" t="s">
        <v>5</v>
      </c>
      <c r="F39" s="36" t="s">
        <v>5</v>
      </c>
      <c r="G39" s="36" t="s">
        <v>5</v>
      </c>
      <c r="H39" s="36" t="s">
        <v>5</v>
      </c>
      <c r="I39" s="36" t="s">
        <v>5</v>
      </c>
      <c r="J39" s="51"/>
    </row>
    <row r="40" spans="1:11" ht="24" customHeight="1">
      <c r="A40" s="14" t="s">
        <v>147</v>
      </c>
      <c r="B40" s="482" t="s">
        <v>148</v>
      </c>
      <c r="C40" s="483"/>
      <c r="D40" s="14"/>
      <c r="E40" s="36" t="s">
        <v>5</v>
      </c>
      <c r="F40" s="36" t="s">
        <v>5</v>
      </c>
      <c r="G40" s="36" t="s">
        <v>5</v>
      </c>
      <c r="H40" s="36" t="s">
        <v>5</v>
      </c>
      <c r="I40" s="36" t="s">
        <v>5</v>
      </c>
      <c r="J40" s="51"/>
    </row>
    <row r="41" spans="1:11" ht="27" customHeight="1">
      <c r="A41" s="56">
        <v>41761</v>
      </c>
      <c r="B41" s="482" t="s">
        <v>149</v>
      </c>
      <c r="C41" s="483"/>
      <c r="D41" s="14"/>
      <c r="E41" s="36"/>
      <c r="F41" s="36"/>
      <c r="G41" s="36"/>
      <c r="H41" s="36"/>
      <c r="I41" s="36"/>
      <c r="J41" s="51"/>
    </row>
    <row r="42" spans="1:11" ht="27" customHeight="1">
      <c r="A42" s="14" t="s">
        <v>150</v>
      </c>
      <c r="B42" s="482" t="s">
        <v>145</v>
      </c>
      <c r="C42" s="483"/>
      <c r="D42" s="14"/>
      <c r="E42" s="36" t="s">
        <v>5</v>
      </c>
      <c r="F42" s="36" t="s">
        <v>5</v>
      </c>
      <c r="G42" s="36" t="s">
        <v>5</v>
      </c>
      <c r="H42" s="36" t="s">
        <v>5</v>
      </c>
      <c r="I42" s="36" t="s">
        <v>5</v>
      </c>
      <c r="J42" s="51"/>
    </row>
    <row r="43" spans="1:11" ht="31.9" customHeight="1">
      <c r="A43" s="14" t="s">
        <v>151</v>
      </c>
      <c r="B43" s="484" t="s">
        <v>206</v>
      </c>
      <c r="C43" s="483"/>
      <c r="D43" s="14"/>
      <c r="E43" s="36" t="s">
        <v>5</v>
      </c>
      <c r="F43" s="36" t="s">
        <v>5</v>
      </c>
      <c r="G43" s="36" t="s">
        <v>5</v>
      </c>
      <c r="H43" s="36" t="s">
        <v>5</v>
      </c>
      <c r="I43" s="36" t="s">
        <v>5</v>
      </c>
      <c r="J43" s="51"/>
    </row>
    <row r="44" spans="1:11" ht="27" customHeight="1">
      <c r="A44" s="14" t="s">
        <v>152</v>
      </c>
      <c r="B44" s="482" t="s">
        <v>148</v>
      </c>
      <c r="C44" s="483"/>
      <c r="D44" s="14"/>
      <c r="E44" s="36" t="s">
        <v>5</v>
      </c>
      <c r="F44" s="36" t="s">
        <v>5</v>
      </c>
      <c r="G44" s="36" t="s">
        <v>5</v>
      </c>
      <c r="H44" s="36" t="s">
        <v>5</v>
      </c>
      <c r="I44" s="36" t="s">
        <v>5</v>
      </c>
      <c r="J44" s="51"/>
    </row>
    <row r="45" spans="1:11" ht="45.6" customHeight="1">
      <c r="A45" s="52">
        <v>15</v>
      </c>
      <c r="B45" s="484" t="s">
        <v>153</v>
      </c>
      <c r="C45" s="483"/>
      <c r="D45" s="14"/>
      <c r="E45" s="36"/>
      <c r="F45" s="36"/>
      <c r="G45" s="36"/>
      <c r="H45" s="36"/>
      <c r="I45" s="36"/>
      <c r="J45" s="51"/>
    </row>
    <row r="46" spans="1:11" ht="20.45" customHeight="1">
      <c r="A46" s="61">
        <v>15.1</v>
      </c>
      <c r="B46" s="482" t="s">
        <v>154</v>
      </c>
      <c r="C46" s="483"/>
      <c r="D46" s="59" t="s">
        <v>223</v>
      </c>
      <c r="E46" s="36"/>
      <c r="F46" s="36"/>
      <c r="G46" s="36"/>
      <c r="H46" s="36"/>
      <c r="I46" s="36"/>
      <c r="J46" s="51"/>
    </row>
    <row r="47" spans="1:11" ht="20.45" customHeight="1">
      <c r="A47" s="61" t="s">
        <v>16</v>
      </c>
      <c r="B47" s="482" t="s">
        <v>19</v>
      </c>
      <c r="C47" s="483"/>
      <c r="D47" s="58" t="s">
        <v>20</v>
      </c>
      <c r="E47" s="19">
        <v>4899.4058999999997</v>
      </c>
      <c r="F47" s="19">
        <v>4016.9784</v>
      </c>
      <c r="G47" s="19">
        <v>6443.6778000000004</v>
      </c>
      <c r="H47" s="19">
        <v>9000.3636000000097</v>
      </c>
      <c r="I47" s="19">
        <v>8227.0403999999999</v>
      </c>
      <c r="J47" s="51"/>
    </row>
    <row r="48" spans="1:11" ht="20.45" customHeight="1">
      <c r="A48" s="61" t="s">
        <v>17</v>
      </c>
      <c r="B48" s="482" t="s">
        <v>18</v>
      </c>
      <c r="C48" s="483"/>
      <c r="D48" s="58" t="s">
        <v>20</v>
      </c>
      <c r="E48" s="19">
        <v>20.001999999999999</v>
      </c>
      <c r="F48" s="19">
        <v>10.731400000000001</v>
      </c>
      <c r="G48" s="19">
        <v>8.7733000000000008</v>
      </c>
      <c r="H48" s="19">
        <v>35.986699999999999</v>
      </c>
      <c r="I48" s="19">
        <v>17.548300000000001</v>
      </c>
      <c r="J48" s="51"/>
    </row>
    <row r="49" spans="1:10" ht="31.15" customHeight="1">
      <c r="A49" s="61">
        <v>15.2</v>
      </c>
      <c r="B49" s="484" t="s">
        <v>215</v>
      </c>
      <c r="C49" s="483"/>
      <c r="D49" s="59" t="s">
        <v>227</v>
      </c>
      <c r="E49" s="19">
        <v>9731.6625603842695</v>
      </c>
      <c r="F49" s="19">
        <v>9658.9653637583306</v>
      </c>
      <c r="G49" s="19">
        <v>9596.8183922602602</v>
      </c>
      <c r="H49" s="19">
        <v>9683.6464261777892</v>
      </c>
      <c r="I49" s="19">
        <v>9484.1469175270595</v>
      </c>
      <c r="J49" s="51"/>
    </row>
    <row r="50" spans="1:10" ht="22.9" customHeight="1">
      <c r="A50" s="61">
        <v>15.3</v>
      </c>
      <c r="B50" s="482" t="s">
        <v>155</v>
      </c>
      <c r="C50" s="483"/>
      <c r="D50" s="59" t="s">
        <v>224</v>
      </c>
      <c r="E50" s="60"/>
      <c r="F50" s="60"/>
      <c r="G50" s="60"/>
      <c r="H50" s="60"/>
      <c r="I50" s="60"/>
      <c r="J50" s="51"/>
    </row>
    <row r="51" spans="1:10" ht="20.45" customHeight="1">
      <c r="A51" s="61" t="s">
        <v>33</v>
      </c>
      <c r="B51" s="482" t="s">
        <v>19</v>
      </c>
      <c r="C51" s="483"/>
      <c r="D51" s="14" t="s">
        <v>229</v>
      </c>
      <c r="E51" s="19">
        <v>48262.93810119143</v>
      </c>
      <c r="F51" s="19">
        <v>43619.51</v>
      </c>
      <c r="G51" s="19">
        <v>50408.58</v>
      </c>
      <c r="H51" s="19">
        <v>24228.57</v>
      </c>
      <c r="I51" s="19">
        <v>33282.93</v>
      </c>
      <c r="J51" s="488" t="s">
        <v>32</v>
      </c>
    </row>
    <row r="52" spans="1:10" ht="20.45" customHeight="1">
      <c r="A52" s="61" t="s">
        <v>34</v>
      </c>
      <c r="B52" s="482" t="s">
        <v>18</v>
      </c>
      <c r="C52" s="483"/>
      <c r="D52" s="14" t="s">
        <v>229</v>
      </c>
      <c r="E52" s="19">
        <v>65825.5</v>
      </c>
      <c r="F52" s="19">
        <v>64798.270250000001</v>
      </c>
      <c r="G52" s="19">
        <v>64973.49610023362</v>
      </c>
      <c r="H52" s="19">
        <v>54840.743802357923</v>
      </c>
      <c r="I52" s="19">
        <v>38187.884296484539</v>
      </c>
      <c r="J52" s="488"/>
    </row>
    <row r="53" spans="1:10" ht="20.45" customHeight="1">
      <c r="A53" s="61">
        <v>15.4</v>
      </c>
      <c r="B53" s="482" t="s">
        <v>156</v>
      </c>
      <c r="C53" s="483"/>
      <c r="D53" s="59" t="s">
        <v>225</v>
      </c>
      <c r="E53" s="36"/>
      <c r="F53" s="36"/>
      <c r="G53" s="36"/>
      <c r="H53" s="36"/>
      <c r="I53" s="36"/>
      <c r="J53" s="51"/>
    </row>
    <row r="54" spans="1:10" ht="20.45" customHeight="1">
      <c r="A54" s="61" t="s">
        <v>21</v>
      </c>
      <c r="B54" s="482" t="s">
        <v>19</v>
      </c>
      <c r="C54" s="483"/>
      <c r="D54" s="14" t="s">
        <v>20</v>
      </c>
      <c r="E54" s="19">
        <v>1218</v>
      </c>
      <c r="F54" s="19">
        <v>1157</v>
      </c>
      <c r="G54" s="19">
        <v>734</v>
      </c>
      <c r="H54" s="19">
        <v>778</v>
      </c>
      <c r="I54" s="19">
        <v>1543</v>
      </c>
      <c r="J54" s="461" t="s">
        <v>35</v>
      </c>
    </row>
    <row r="55" spans="1:10" ht="20.45" customHeight="1">
      <c r="A55" s="61" t="s">
        <v>22</v>
      </c>
      <c r="B55" s="482" t="s">
        <v>18</v>
      </c>
      <c r="C55" s="483"/>
      <c r="D55" s="14" t="s">
        <v>20</v>
      </c>
      <c r="E55" s="19">
        <v>44</v>
      </c>
      <c r="F55" s="19">
        <v>74</v>
      </c>
      <c r="G55" s="19">
        <v>73</v>
      </c>
      <c r="H55" s="19">
        <v>64</v>
      </c>
      <c r="I55" s="19">
        <v>73</v>
      </c>
      <c r="J55" s="461"/>
    </row>
    <row r="56" spans="1:10" ht="31.5" customHeight="1">
      <c r="A56" s="52">
        <v>16</v>
      </c>
      <c r="B56" s="482" t="s">
        <v>157</v>
      </c>
      <c r="C56" s="483"/>
      <c r="D56" s="14"/>
      <c r="E56" s="36"/>
      <c r="F56" s="36"/>
      <c r="G56" s="36"/>
      <c r="H56" s="36"/>
      <c r="I56" s="36"/>
      <c r="J56" s="51"/>
    </row>
    <row r="57" spans="1:10" ht="21.6" customHeight="1">
      <c r="A57" s="61">
        <v>16.100000000000001</v>
      </c>
      <c r="B57" s="482" t="s">
        <v>158</v>
      </c>
      <c r="C57" s="483"/>
      <c r="D57" s="489" t="s">
        <v>226</v>
      </c>
      <c r="E57" s="36">
        <v>271</v>
      </c>
      <c r="F57" s="36">
        <v>332</v>
      </c>
      <c r="G57" s="36">
        <v>375</v>
      </c>
      <c r="H57" s="36">
        <v>343</v>
      </c>
      <c r="I57" s="36">
        <v>312</v>
      </c>
      <c r="J57" s="488"/>
    </row>
    <row r="58" spans="1:10" ht="21.6" customHeight="1">
      <c r="A58" s="61">
        <v>16.2</v>
      </c>
      <c r="B58" s="482" t="s">
        <v>159</v>
      </c>
      <c r="C58" s="483"/>
      <c r="D58" s="490"/>
      <c r="E58" s="36">
        <v>297</v>
      </c>
      <c r="F58" s="36">
        <v>294</v>
      </c>
      <c r="G58" s="36">
        <v>284</v>
      </c>
      <c r="H58" s="36">
        <v>681</v>
      </c>
      <c r="I58" s="36">
        <v>217</v>
      </c>
      <c r="J58" s="488"/>
    </row>
    <row r="59" spans="1:10" ht="21.6" customHeight="1">
      <c r="A59" s="61">
        <v>16.3</v>
      </c>
      <c r="B59" s="482" t="s">
        <v>160</v>
      </c>
      <c r="C59" s="483"/>
      <c r="D59" s="14"/>
      <c r="E59" s="36">
        <v>10</v>
      </c>
      <c r="F59" s="36">
        <v>25</v>
      </c>
      <c r="G59" s="36">
        <v>8</v>
      </c>
      <c r="H59" s="36">
        <v>32</v>
      </c>
      <c r="I59" s="36">
        <v>32</v>
      </c>
      <c r="J59" s="51"/>
    </row>
    <row r="60" spans="1:10" ht="21.6" customHeight="1">
      <c r="A60" s="61">
        <v>16.399999999999999</v>
      </c>
      <c r="B60" s="482" t="s">
        <v>161</v>
      </c>
      <c r="C60" s="483"/>
      <c r="D60" s="14"/>
      <c r="E60" s="36"/>
      <c r="F60" s="36"/>
      <c r="G60" s="36"/>
      <c r="H60" s="36"/>
      <c r="I60" s="36"/>
      <c r="J60" s="51"/>
    </row>
    <row r="61" spans="1:10" ht="21.6" customHeight="1">
      <c r="A61" s="56">
        <v>42461</v>
      </c>
      <c r="B61" s="482" t="s">
        <v>162</v>
      </c>
      <c r="C61" s="483"/>
      <c r="D61" s="14"/>
      <c r="E61" s="23">
        <v>105</v>
      </c>
      <c r="F61" s="36">
        <v>24</v>
      </c>
      <c r="G61" s="36">
        <v>22</v>
      </c>
      <c r="H61" s="36">
        <v>56</v>
      </c>
      <c r="I61" s="36">
        <v>29</v>
      </c>
      <c r="J61" s="485" t="s">
        <v>57</v>
      </c>
    </row>
    <row r="62" spans="1:10" ht="21.6" customHeight="1">
      <c r="A62" s="56">
        <v>42462</v>
      </c>
      <c r="B62" s="482" t="s">
        <v>163</v>
      </c>
      <c r="C62" s="483"/>
      <c r="D62" s="14"/>
      <c r="E62" s="23" t="s">
        <v>58</v>
      </c>
      <c r="F62" s="36">
        <v>66</v>
      </c>
      <c r="G62" s="36">
        <v>61</v>
      </c>
      <c r="H62" s="36">
        <v>93</v>
      </c>
      <c r="I62" s="36">
        <v>73</v>
      </c>
      <c r="J62" s="486"/>
    </row>
    <row r="63" spans="1:10" ht="21.6" customHeight="1">
      <c r="A63" s="56">
        <v>42463</v>
      </c>
      <c r="B63" s="482" t="s">
        <v>164</v>
      </c>
      <c r="C63" s="483"/>
      <c r="D63" s="14"/>
      <c r="E63" s="23">
        <v>12</v>
      </c>
      <c r="F63" s="36">
        <v>24</v>
      </c>
      <c r="G63" s="36">
        <v>15</v>
      </c>
      <c r="H63" s="36">
        <v>42</v>
      </c>
      <c r="I63" s="36">
        <v>19</v>
      </c>
      <c r="J63" s="487"/>
    </row>
  </sheetData>
  <mergeCells count="67">
    <mergeCell ref="B30:C30"/>
    <mergeCell ref="B32:C32"/>
    <mergeCell ref="B24:C24"/>
    <mergeCell ref="B25:C25"/>
    <mergeCell ref="B34:C34"/>
    <mergeCell ref="B33:C33"/>
    <mergeCell ref="B63:C63"/>
    <mergeCell ref="B62:C62"/>
    <mergeCell ref="B59:C59"/>
    <mergeCell ref="B60:C60"/>
    <mergeCell ref="B58:C58"/>
    <mergeCell ref="B56:C56"/>
    <mergeCell ref="B55:C55"/>
    <mergeCell ref="B54:C54"/>
    <mergeCell ref="B61:C61"/>
    <mergeCell ref="B50:C50"/>
    <mergeCell ref="B57:C57"/>
    <mergeCell ref="B38:C38"/>
    <mergeCell ref="B39:C39"/>
    <mergeCell ref="B36:C36"/>
    <mergeCell ref="B45:C45"/>
    <mergeCell ref="B46:C46"/>
    <mergeCell ref="B44:C44"/>
    <mergeCell ref="B48:C48"/>
    <mergeCell ref="B42:C42"/>
    <mergeCell ref="B43:C43"/>
    <mergeCell ref="B40:C40"/>
    <mergeCell ref="B41:C41"/>
    <mergeCell ref="A12:A13"/>
    <mergeCell ref="B12:B13"/>
    <mergeCell ref="A22:A23"/>
    <mergeCell ref="A20:A21"/>
    <mergeCell ref="A17:A19"/>
    <mergeCell ref="B17:B19"/>
    <mergeCell ref="B20:B21"/>
    <mergeCell ref="J61:J63"/>
    <mergeCell ref="J57:J58"/>
    <mergeCell ref="J51:J52"/>
    <mergeCell ref="D57:D58"/>
    <mergeCell ref="B14:C14"/>
    <mergeCell ref="B15:C15"/>
    <mergeCell ref="B22:B23"/>
    <mergeCell ref="B16:C16"/>
    <mergeCell ref="B29:C29"/>
    <mergeCell ref="B26:C26"/>
    <mergeCell ref="B27:C27"/>
    <mergeCell ref="B35:C35"/>
    <mergeCell ref="B31:C31"/>
    <mergeCell ref="B49:C49"/>
    <mergeCell ref="B37:C37"/>
    <mergeCell ref="B47:C47"/>
    <mergeCell ref="B2:C2"/>
    <mergeCell ref="B3:C3"/>
    <mergeCell ref="J54:J55"/>
    <mergeCell ref="B51:C51"/>
    <mergeCell ref="B52:C52"/>
    <mergeCell ref="B53:C53"/>
    <mergeCell ref="B8:C8"/>
    <mergeCell ref="B9:C9"/>
    <mergeCell ref="B6:C6"/>
    <mergeCell ref="B7:C7"/>
    <mergeCell ref="B4:C4"/>
    <mergeCell ref="B5:C5"/>
    <mergeCell ref="E10:I10"/>
    <mergeCell ref="B10:C10"/>
    <mergeCell ref="B11:C11"/>
    <mergeCell ref="B28:C28"/>
  </mergeCells>
  <hyperlinks>
    <hyperlink ref="F9" r:id="rId1" display="317@"/>
  </hyperlinks>
  <pageMargins left="0.31496062992125984" right="0.11811023622047245" top="0.23622047244094491" bottom="0.27559055118110237" header="0" footer="0.19685039370078741"/>
  <pageSetup paperSize="9" scale="86" fitToHeight="0" orientation="portrait" r:id="rId2"/>
  <rowBreaks count="1" manualBreakCount="1">
    <brk id="3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2"/>
  <sheetViews>
    <sheetView workbookViewId="0">
      <selection activeCell="K13" sqref="K13"/>
    </sheetView>
  </sheetViews>
  <sheetFormatPr defaultColWidth="8.83203125" defaultRowHeight="15"/>
  <cols>
    <col min="1" max="1" width="7.83203125" style="57" customWidth="1"/>
    <col min="2" max="2" width="40.1640625" style="38" customWidth="1"/>
    <col min="3" max="3" width="14.1640625" style="17" customWidth="1"/>
    <col min="4" max="4" width="9.33203125" style="38" customWidth="1"/>
    <col min="5" max="5" width="9.1640625" style="38" customWidth="1"/>
    <col min="6" max="7" width="8.83203125" style="38" customWidth="1"/>
    <col min="8" max="8" width="10.5" style="38" customWidth="1"/>
    <col min="9" max="9" width="21.83203125" style="38" hidden="1" customWidth="1"/>
    <col min="10" max="10" width="12.6640625" style="38" bestFit="1" customWidth="1"/>
    <col min="11" max="11" width="11.5" style="38" bestFit="1" customWidth="1"/>
    <col min="12" max="16384" width="8.83203125" style="38"/>
  </cols>
  <sheetData>
    <row r="1" spans="1:9">
      <c r="A1" s="87" t="s">
        <v>235</v>
      </c>
      <c r="B1" s="44" t="s">
        <v>236</v>
      </c>
      <c r="E1" s="50" t="s">
        <v>208</v>
      </c>
    </row>
    <row r="2" spans="1:9" ht="13.9" customHeight="1">
      <c r="A2" s="65"/>
      <c r="B2" s="14" t="s">
        <v>66</v>
      </c>
      <c r="C2" s="66" t="s">
        <v>67</v>
      </c>
      <c r="D2" s="73" t="s">
        <v>68</v>
      </c>
      <c r="E2" s="74" t="s">
        <v>69</v>
      </c>
      <c r="F2" s="36" t="s">
        <v>70</v>
      </c>
      <c r="G2" s="75" t="s">
        <v>60</v>
      </c>
      <c r="H2" s="75" t="s">
        <v>61</v>
      </c>
      <c r="I2" s="51" t="s">
        <v>51</v>
      </c>
    </row>
    <row r="3" spans="1:9" ht="31.15" customHeight="1">
      <c r="A3" s="52">
        <v>17</v>
      </c>
      <c r="B3" s="39" t="s">
        <v>165</v>
      </c>
      <c r="C3" s="13"/>
      <c r="D3" s="43"/>
      <c r="E3" s="67"/>
      <c r="F3" s="40"/>
      <c r="G3" s="40"/>
      <c r="H3" s="68"/>
      <c r="I3" s="51"/>
    </row>
    <row r="4" spans="1:9" ht="33" customHeight="1">
      <c r="A4" s="61">
        <v>17.100000000000001</v>
      </c>
      <c r="B4" s="40" t="s">
        <v>166</v>
      </c>
      <c r="C4" s="12" t="s">
        <v>167</v>
      </c>
      <c r="D4" s="504" t="s">
        <v>23</v>
      </c>
      <c r="E4" s="468"/>
      <c r="F4" s="468"/>
      <c r="G4" s="468"/>
      <c r="H4" s="469"/>
      <c r="I4" s="51"/>
    </row>
    <row r="5" spans="1:9" ht="31.15" customHeight="1">
      <c r="A5" s="69">
        <v>17.2</v>
      </c>
      <c r="B5" s="41" t="s">
        <v>207</v>
      </c>
      <c r="C5" s="13" t="s">
        <v>167</v>
      </c>
      <c r="D5" s="70"/>
      <c r="E5" s="70"/>
      <c r="F5" s="506"/>
      <c r="G5" s="506"/>
      <c r="H5" s="70"/>
    </row>
    <row r="6" spans="1:9" ht="26.45" customHeight="1">
      <c r="A6" s="69"/>
      <c r="B6" s="13" t="s">
        <v>24</v>
      </c>
      <c r="C6" s="30" t="s">
        <v>59</v>
      </c>
      <c r="D6" s="22">
        <v>112.3</v>
      </c>
      <c r="E6" s="23">
        <v>112.28</v>
      </c>
      <c r="F6" s="23">
        <v>95.418000000000006</v>
      </c>
      <c r="G6" s="23">
        <v>71.430000000000007</v>
      </c>
      <c r="H6" s="23">
        <v>93.89</v>
      </c>
    </row>
    <row r="7" spans="1:9" ht="26.45" customHeight="1">
      <c r="A7" s="69"/>
      <c r="B7" s="13" t="s">
        <v>25</v>
      </c>
      <c r="C7" s="30" t="s">
        <v>59</v>
      </c>
      <c r="D7" s="23">
        <v>761.62</v>
      </c>
      <c r="E7" s="23">
        <v>693.93</v>
      </c>
      <c r="F7" s="23">
        <v>693.21</v>
      </c>
      <c r="G7" s="23">
        <v>770.51</v>
      </c>
      <c r="H7" s="23">
        <v>710.48</v>
      </c>
    </row>
    <row r="8" spans="1:9" ht="26.45" customHeight="1">
      <c r="A8" s="69"/>
      <c r="B8" s="13" t="s">
        <v>26</v>
      </c>
      <c r="C8" s="30" t="s">
        <v>59</v>
      </c>
      <c r="D8" s="23">
        <v>51.45</v>
      </c>
      <c r="E8" s="23">
        <v>57.34</v>
      </c>
      <c r="F8" s="23">
        <v>52.92</v>
      </c>
      <c r="G8" s="23">
        <v>46.51</v>
      </c>
      <c r="H8" s="23">
        <v>51.91</v>
      </c>
    </row>
    <row r="9" spans="1:9" ht="31.5" customHeight="1">
      <c r="A9" s="71">
        <v>19</v>
      </c>
      <c r="B9" s="42" t="s">
        <v>214</v>
      </c>
      <c r="C9" s="30" t="s">
        <v>217</v>
      </c>
      <c r="D9" s="32">
        <v>92.87</v>
      </c>
      <c r="E9" s="32">
        <v>94.9</v>
      </c>
      <c r="F9" s="32">
        <v>92.37</v>
      </c>
      <c r="G9" s="32">
        <v>91.7</v>
      </c>
      <c r="H9" s="32">
        <v>91.13</v>
      </c>
    </row>
    <row r="10" spans="1:9" ht="26.45" customHeight="1">
      <c r="A10" s="69">
        <v>19.100000000000001</v>
      </c>
      <c r="B10" s="43" t="s">
        <v>168</v>
      </c>
      <c r="C10" s="13" t="s">
        <v>142</v>
      </c>
      <c r="D10" s="32">
        <v>99.44</v>
      </c>
      <c r="E10" s="32">
        <v>99.46</v>
      </c>
      <c r="F10" s="32">
        <v>99.79</v>
      </c>
      <c r="G10" s="32">
        <v>98.72</v>
      </c>
      <c r="H10" s="32">
        <v>98.44</v>
      </c>
    </row>
    <row r="11" spans="1:9" ht="26.45" customHeight="1">
      <c r="A11" s="69">
        <v>19.2</v>
      </c>
      <c r="B11" s="43" t="s">
        <v>169</v>
      </c>
      <c r="C11" s="13" t="s">
        <v>142</v>
      </c>
      <c r="D11" s="32">
        <v>0.56000000000000005</v>
      </c>
      <c r="E11" s="32">
        <v>0.54</v>
      </c>
      <c r="F11" s="32">
        <v>0.21</v>
      </c>
      <c r="G11" s="32">
        <v>1.3</v>
      </c>
      <c r="H11" s="32">
        <v>1.55</v>
      </c>
    </row>
    <row r="12" spans="1:9" ht="26.45" customHeight="1">
      <c r="A12" s="69">
        <v>19.3</v>
      </c>
      <c r="B12" s="43" t="s">
        <v>170</v>
      </c>
      <c r="C12" s="13" t="s">
        <v>142</v>
      </c>
      <c r="D12" s="33" t="s">
        <v>13</v>
      </c>
      <c r="E12" s="33" t="s">
        <v>13</v>
      </c>
      <c r="F12" s="33" t="s">
        <v>13</v>
      </c>
      <c r="G12" s="33"/>
      <c r="H12" s="33" t="s">
        <v>13</v>
      </c>
    </row>
    <row r="13" spans="1:9" ht="30.6" customHeight="1">
      <c r="A13" s="69">
        <v>19.399999999999999</v>
      </c>
      <c r="B13" s="43" t="s">
        <v>171</v>
      </c>
      <c r="C13" s="13" t="s">
        <v>142</v>
      </c>
      <c r="D13" s="33" t="s">
        <v>13</v>
      </c>
      <c r="E13" s="33" t="s">
        <v>13</v>
      </c>
      <c r="F13" s="33" t="s">
        <v>13</v>
      </c>
      <c r="G13" s="33"/>
      <c r="H13" s="33" t="s">
        <v>13</v>
      </c>
    </row>
    <row r="14" spans="1:9" ht="33.75" customHeight="1">
      <c r="A14" s="69">
        <v>19.5</v>
      </c>
      <c r="B14" s="43" t="s">
        <v>172</v>
      </c>
      <c r="C14" s="13" t="s">
        <v>173</v>
      </c>
      <c r="D14" s="33" t="s">
        <v>13</v>
      </c>
      <c r="E14" s="33" t="s">
        <v>13</v>
      </c>
      <c r="F14" s="33" t="s">
        <v>13</v>
      </c>
      <c r="G14" s="33"/>
      <c r="H14" s="33" t="s">
        <v>13</v>
      </c>
    </row>
    <row r="15" spans="1:9" ht="29.25" customHeight="1">
      <c r="A15" s="71">
        <v>20</v>
      </c>
      <c r="B15" s="42" t="s">
        <v>231</v>
      </c>
      <c r="C15" s="13" t="s">
        <v>174</v>
      </c>
      <c r="D15" s="34">
        <v>2085</v>
      </c>
      <c r="E15" s="35">
        <v>1879.95</v>
      </c>
      <c r="F15" s="37">
        <v>2511.1</v>
      </c>
      <c r="G15" s="35">
        <v>1992.78</v>
      </c>
      <c r="H15" s="35">
        <v>1891.61</v>
      </c>
    </row>
    <row r="16" spans="1:9" ht="33.75" customHeight="1">
      <c r="A16" s="71">
        <v>21</v>
      </c>
      <c r="B16" s="43" t="s">
        <v>175</v>
      </c>
      <c r="C16" s="13" t="s">
        <v>176</v>
      </c>
      <c r="D16" s="34">
        <v>1249</v>
      </c>
      <c r="E16" s="35">
        <v>1195.29</v>
      </c>
      <c r="F16" s="37">
        <v>1268.2</v>
      </c>
      <c r="G16" s="35">
        <v>1291.97</v>
      </c>
      <c r="H16" s="35">
        <v>1225.3399999999999</v>
      </c>
    </row>
    <row r="17" spans="1:8" ht="32.25" customHeight="1">
      <c r="A17" s="71">
        <v>22</v>
      </c>
      <c r="B17" s="43" t="s">
        <v>177</v>
      </c>
      <c r="C17" s="13"/>
      <c r="D17" s="36"/>
      <c r="E17" s="36"/>
      <c r="F17" s="36"/>
      <c r="G17" s="36"/>
      <c r="H17" s="36"/>
    </row>
    <row r="18" spans="1:8" ht="26.45" customHeight="1">
      <c r="A18" s="69">
        <v>22.1</v>
      </c>
      <c r="B18" s="43" t="s">
        <v>178</v>
      </c>
      <c r="C18" s="86" t="s">
        <v>238</v>
      </c>
      <c r="D18" s="36">
        <v>416</v>
      </c>
      <c r="E18" s="36">
        <v>421</v>
      </c>
      <c r="F18" s="36">
        <v>390</v>
      </c>
      <c r="G18" s="36">
        <v>363</v>
      </c>
      <c r="H18" s="36">
        <v>327</v>
      </c>
    </row>
    <row r="19" spans="1:8" ht="26.45" customHeight="1">
      <c r="A19" s="69">
        <v>22.2</v>
      </c>
      <c r="B19" s="43" t="s">
        <v>179</v>
      </c>
      <c r="C19" s="86" t="s">
        <v>238</v>
      </c>
      <c r="D19" s="36">
        <v>744</v>
      </c>
      <c r="E19" s="36">
        <v>701</v>
      </c>
      <c r="F19" s="36">
        <v>653</v>
      </c>
      <c r="G19" s="36">
        <v>610</v>
      </c>
      <c r="H19" s="36">
        <v>575</v>
      </c>
    </row>
    <row r="20" spans="1:8" ht="21.6" customHeight="1">
      <c r="A20" s="69">
        <v>22.3</v>
      </c>
      <c r="B20" s="20" t="s">
        <v>180</v>
      </c>
      <c r="C20" s="86" t="s">
        <v>238</v>
      </c>
      <c r="D20" s="36">
        <v>566</v>
      </c>
      <c r="E20" s="36">
        <v>503</v>
      </c>
      <c r="F20" s="36">
        <v>477</v>
      </c>
      <c r="G20" s="36">
        <v>399</v>
      </c>
      <c r="H20" s="36">
        <v>327</v>
      </c>
    </row>
    <row r="21" spans="1:8" ht="30" customHeight="1">
      <c r="A21" s="71">
        <v>23</v>
      </c>
      <c r="B21" s="43" t="s">
        <v>181</v>
      </c>
      <c r="C21" s="13" t="s">
        <v>182</v>
      </c>
      <c r="D21" s="32">
        <f>ROUND(SUM(D18:D20)/600,2)</f>
        <v>2.88</v>
      </c>
      <c r="E21" s="32">
        <f t="shared" ref="E21:H21" si="0">ROUND(SUM(E18:E20)/600,2)</f>
        <v>2.71</v>
      </c>
      <c r="F21" s="32">
        <f t="shared" si="0"/>
        <v>2.5299999999999998</v>
      </c>
      <c r="G21" s="32">
        <f t="shared" si="0"/>
        <v>2.29</v>
      </c>
      <c r="H21" s="32">
        <f t="shared" si="0"/>
        <v>2.0499999999999998</v>
      </c>
    </row>
    <row r="22" spans="1:8" ht="30" customHeight="1">
      <c r="A22" s="1" t="s">
        <v>183</v>
      </c>
      <c r="B22" s="21"/>
      <c r="D22" s="21"/>
      <c r="E22" s="21"/>
      <c r="F22" s="21"/>
      <c r="G22" s="21"/>
      <c r="H22" s="21"/>
    </row>
    <row r="23" spans="1:8" ht="21.6" customHeight="1">
      <c r="A23" s="72" t="s">
        <v>189</v>
      </c>
      <c r="B23" s="505" t="s">
        <v>233</v>
      </c>
      <c r="C23" s="505"/>
      <c r="D23" s="505"/>
      <c r="E23" s="505"/>
      <c r="F23" s="505"/>
      <c r="G23" s="505"/>
      <c r="H23" s="505"/>
    </row>
    <row r="24" spans="1:8" ht="15.6" customHeight="1">
      <c r="A24" s="72" t="s">
        <v>36</v>
      </c>
      <c r="B24" s="505" t="s">
        <v>37</v>
      </c>
      <c r="C24" s="505"/>
      <c r="D24" s="505"/>
      <c r="E24" s="505"/>
      <c r="F24" s="505"/>
      <c r="G24" s="505"/>
      <c r="H24" s="505"/>
    </row>
    <row r="25" spans="1:8">
      <c r="A25" s="57" t="s">
        <v>184</v>
      </c>
      <c r="B25" s="44" t="s">
        <v>210</v>
      </c>
    </row>
    <row r="26" spans="1:8" ht="40.700000000000003" hidden="1" customHeight="1">
      <c r="A26" s="502" t="s">
        <v>209</v>
      </c>
      <c r="B26" s="503"/>
      <c r="C26" s="503"/>
      <c r="D26" s="503"/>
      <c r="E26" s="503"/>
      <c r="F26" s="503"/>
      <c r="G26" s="503"/>
      <c r="H26" s="503"/>
    </row>
    <row r="27" spans="1:8" hidden="1">
      <c r="A27" s="57" t="s">
        <v>185</v>
      </c>
    </row>
    <row r="28" spans="1:8" hidden="1">
      <c r="A28" s="57" t="s">
        <v>186</v>
      </c>
    </row>
    <row r="29" spans="1:8" ht="28.9" hidden="1" customHeight="1">
      <c r="A29" s="502" t="s">
        <v>211</v>
      </c>
      <c r="B29" s="503"/>
      <c r="C29" s="503"/>
      <c r="D29" s="503"/>
      <c r="E29" s="503"/>
      <c r="F29" s="503"/>
      <c r="G29" s="503"/>
      <c r="H29" s="503"/>
    </row>
    <row r="30" spans="1:8" hidden="1">
      <c r="A30" s="57" t="s">
        <v>187</v>
      </c>
    </row>
    <row r="31" spans="1:8" ht="28.15" hidden="1" customHeight="1">
      <c r="A31" s="502" t="s">
        <v>212</v>
      </c>
      <c r="B31" s="503"/>
      <c r="C31" s="503"/>
      <c r="D31" s="503"/>
      <c r="E31" s="503"/>
      <c r="F31" s="503"/>
      <c r="G31" s="503"/>
      <c r="H31" s="503"/>
    </row>
    <row r="32" spans="1:8" hidden="1">
      <c r="A32" s="76" t="s">
        <v>213</v>
      </c>
    </row>
  </sheetData>
  <mergeCells count="7">
    <mergeCell ref="A31:H31"/>
    <mergeCell ref="A29:H29"/>
    <mergeCell ref="D4:H4"/>
    <mergeCell ref="B23:H23"/>
    <mergeCell ref="B24:H24"/>
    <mergeCell ref="A26:H26"/>
    <mergeCell ref="F5:G5"/>
  </mergeCells>
  <pageMargins left="0.31496062992125984" right="0.31496062992125984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2"/>
  <sheetViews>
    <sheetView topLeftCell="A25" workbookViewId="0">
      <selection activeCell="J38" sqref="J38"/>
    </sheetView>
  </sheetViews>
  <sheetFormatPr defaultRowHeight="15.75"/>
  <cols>
    <col min="1" max="1" width="9.33203125" style="93"/>
    <col min="2" max="7" width="16.1640625" style="93" customWidth="1"/>
    <col min="8" max="16384" width="9.33203125" style="93"/>
  </cols>
  <sheetData>
    <row r="1" spans="1:7">
      <c r="A1" s="93" t="s">
        <v>242</v>
      </c>
    </row>
    <row r="2" spans="1:7">
      <c r="A2" s="507" t="s">
        <v>243</v>
      </c>
      <c r="B2" s="508"/>
      <c r="C2" s="508"/>
      <c r="D2" s="508"/>
      <c r="E2" s="508"/>
      <c r="F2" s="508"/>
      <c r="G2" s="509"/>
    </row>
    <row r="3" spans="1:7">
      <c r="A3" s="510" t="s">
        <v>244</v>
      </c>
      <c r="B3" s="511"/>
      <c r="C3" s="511"/>
      <c r="D3" s="511"/>
      <c r="E3" s="511"/>
      <c r="F3" s="511"/>
      <c r="G3" s="512"/>
    </row>
    <row r="4" spans="1:7" ht="78.75">
      <c r="A4" s="94" t="s">
        <v>245</v>
      </c>
      <c r="B4" s="95" t="s">
        <v>246</v>
      </c>
      <c r="C4" s="95" t="s">
        <v>247</v>
      </c>
      <c r="D4" s="95" t="s">
        <v>248</v>
      </c>
      <c r="E4" s="95" t="s">
        <v>249</v>
      </c>
      <c r="F4" s="95" t="s">
        <v>250</v>
      </c>
      <c r="G4" s="96" t="s">
        <v>251</v>
      </c>
    </row>
    <row r="5" spans="1:7">
      <c r="A5" s="97" t="s">
        <v>252</v>
      </c>
      <c r="B5" s="98">
        <v>79.700999999999993</v>
      </c>
      <c r="C5" s="98">
        <v>89.2</v>
      </c>
      <c r="D5" s="98">
        <v>89.393000000000001</v>
      </c>
      <c r="E5" s="98">
        <v>83.978999999999999</v>
      </c>
      <c r="F5" s="98">
        <v>80.742000000000004</v>
      </c>
      <c r="G5" s="513" t="s">
        <v>253</v>
      </c>
    </row>
    <row r="6" spans="1:7">
      <c r="A6" s="97" t="s">
        <v>254</v>
      </c>
      <c r="B6" s="98">
        <v>64.209000000000003</v>
      </c>
      <c r="C6" s="98">
        <v>87.218999999999994</v>
      </c>
      <c r="D6" s="98">
        <v>70.363</v>
      </c>
      <c r="E6" s="98">
        <v>77.775000000000006</v>
      </c>
      <c r="F6" s="98">
        <v>66.046000000000006</v>
      </c>
      <c r="G6" s="514"/>
    </row>
    <row r="7" spans="1:7">
      <c r="A7" s="97" t="s">
        <v>255</v>
      </c>
      <c r="B7" s="98">
        <v>53.786000000000001</v>
      </c>
      <c r="C7" s="98">
        <v>80.656999999999996</v>
      </c>
      <c r="D7" s="98">
        <v>46.258000000000003</v>
      </c>
      <c r="E7" s="98">
        <v>75.989999999999995</v>
      </c>
      <c r="F7" s="98">
        <v>64.694999999999993</v>
      </c>
      <c r="G7" s="514"/>
    </row>
    <row r="8" spans="1:7">
      <c r="A8" s="97" t="s">
        <v>256</v>
      </c>
      <c r="B8" s="98">
        <v>80.284999999999997</v>
      </c>
      <c r="C8" s="98">
        <v>64.069000000000003</v>
      </c>
      <c r="D8" s="98">
        <v>57.904000000000003</v>
      </c>
      <c r="E8" s="98">
        <v>67.739999999999995</v>
      </c>
      <c r="F8" s="98">
        <v>70.498000000000005</v>
      </c>
      <c r="G8" s="514"/>
    </row>
    <row r="9" spans="1:7">
      <c r="A9" s="97" t="s">
        <v>257</v>
      </c>
      <c r="B9" s="98">
        <v>71.637</v>
      </c>
      <c r="C9" s="98">
        <v>60.887999999999998</v>
      </c>
      <c r="D9" s="98">
        <v>60.225999999999999</v>
      </c>
      <c r="E9" s="98">
        <v>45.357999999999997</v>
      </c>
      <c r="F9" s="98">
        <v>70.638999999999996</v>
      </c>
      <c r="G9" s="514"/>
    </row>
    <row r="10" spans="1:7" ht="31.5">
      <c r="A10" s="97" t="s">
        <v>258</v>
      </c>
      <c r="B10" s="98">
        <v>68.606999999999999</v>
      </c>
      <c r="C10" s="98">
        <v>66.322000000000003</v>
      </c>
      <c r="D10" s="98">
        <v>68.459000000000003</v>
      </c>
      <c r="E10" s="98">
        <v>58.621000000000002</v>
      </c>
      <c r="F10" s="98">
        <v>61.588000000000001</v>
      </c>
      <c r="G10" s="514"/>
    </row>
    <row r="11" spans="1:7" ht="31.5">
      <c r="A11" s="97" t="s">
        <v>259</v>
      </c>
      <c r="B11" s="98">
        <v>64.495000000000005</v>
      </c>
      <c r="C11" s="98">
        <v>65.703000000000003</v>
      </c>
      <c r="D11" s="98">
        <v>53.725000000000001</v>
      </c>
      <c r="E11" s="98">
        <v>62.116999999999997</v>
      </c>
      <c r="F11" s="98">
        <v>71.194000000000003</v>
      </c>
      <c r="G11" s="514"/>
    </row>
    <row r="12" spans="1:7" ht="31.5">
      <c r="A12" s="97" t="s">
        <v>260</v>
      </c>
      <c r="B12" s="98">
        <v>63.930999999999997</v>
      </c>
      <c r="C12" s="98">
        <v>56.938000000000002</v>
      </c>
      <c r="D12" s="98">
        <v>56.055</v>
      </c>
      <c r="E12" s="98">
        <v>22.120999999999999</v>
      </c>
      <c r="F12" s="98">
        <v>63.807000000000002</v>
      </c>
      <c r="G12" s="514"/>
    </row>
    <row r="13" spans="1:7" ht="31.5">
      <c r="A13" s="97" t="s">
        <v>261</v>
      </c>
      <c r="B13" s="98">
        <v>81.72</v>
      </c>
      <c r="C13" s="98">
        <v>85.605000000000004</v>
      </c>
      <c r="D13" s="98">
        <v>67.575000000000003</v>
      </c>
      <c r="E13" s="98">
        <v>17.042000000000002</v>
      </c>
      <c r="F13" s="98">
        <v>68.974000000000004</v>
      </c>
      <c r="G13" s="514"/>
    </row>
    <row r="14" spans="1:7">
      <c r="A14" s="97" t="s">
        <v>262</v>
      </c>
      <c r="B14" s="98">
        <v>94.204999999999998</v>
      </c>
      <c r="C14" s="98">
        <v>93.712000000000003</v>
      </c>
      <c r="D14" s="98">
        <v>72.561999999999998</v>
      </c>
      <c r="E14" s="98">
        <v>53.837000000000003</v>
      </c>
      <c r="F14" s="98">
        <v>78.52</v>
      </c>
      <c r="G14" s="514"/>
    </row>
    <row r="15" spans="1:7" ht="31.5">
      <c r="A15" s="97" t="s">
        <v>263</v>
      </c>
      <c r="B15" s="98">
        <v>94.22</v>
      </c>
      <c r="C15" s="98">
        <v>93.718999999999994</v>
      </c>
      <c r="D15" s="98">
        <v>85.561000000000007</v>
      </c>
      <c r="E15" s="98">
        <v>71.509</v>
      </c>
      <c r="F15" s="98">
        <v>74.257000000000005</v>
      </c>
      <c r="G15" s="514"/>
    </row>
    <row r="16" spans="1:7">
      <c r="A16" s="97" t="s">
        <v>264</v>
      </c>
      <c r="B16" s="98">
        <v>92.825999999999993</v>
      </c>
      <c r="C16" s="98">
        <v>89.813999999999993</v>
      </c>
      <c r="D16" s="98">
        <v>86.150999999999996</v>
      </c>
      <c r="E16" s="98">
        <v>71.882999999999996</v>
      </c>
      <c r="F16" s="98">
        <v>85.471999999999994</v>
      </c>
      <c r="G16" s="515"/>
    </row>
    <row r="17" spans="1:7">
      <c r="A17" s="96" t="s">
        <v>265</v>
      </c>
      <c r="B17" s="99">
        <v>75.751999999999995</v>
      </c>
      <c r="C17" s="99">
        <v>77.739999999999995</v>
      </c>
      <c r="D17" s="100">
        <v>67.738</v>
      </c>
      <c r="E17" s="100">
        <v>58.917000000000002</v>
      </c>
      <c r="F17" s="100">
        <v>71.385999999999996</v>
      </c>
      <c r="G17" s="97"/>
    </row>
    <row r="18" spans="1:7">
      <c r="A18" s="516" t="s">
        <v>266</v>
      </c>
      <c r="B18" s="511"/>
      <c r="C18" s="511"/>
      <c r="D18" s="511"/>
      <c r="E18" s="511"/>
      <c r="F18" s="511"/>
      <c r="G18" s="517"/>
    </row>
    <row r="19" spans="1:7" ht="94.5">
      <c r="A19" s="101" t="s">
        <v>267</v>
      </c>
      <c r="B19" s="95" t="s">
        <v>246</v>
      </c>
      <c r="C19" s="95" t="s">
        <v>247</v>
      </c>
      <c r="D19" s="95" t="s">
        <v>248</v>
      </c>
      <c r="E19" s="95" t="s">
        <v>249</v>
      </c>
      <c r="F19" s="102" t="s">
        <v>250</v>
      </c>
      <c r="G19" s="103" t="s">
        <v>268</v>
      </c>
    </row>
    <row r="20" spans="1:7">
      <c r="A20" s="97" t="s">
        <v>252</v>
      </c>
      <c r="B20" s="98">
        <v>79.700999999999993</v>
      </c>
      <c r="C20" s="98">
        <v>89.2</v>
      </c>
      <c r="D20" s="98">
        <v>89.393000000000001</v>
      </c>
      <c r="E20" s="98">
        <v>83.978999999999999</v>
      </c>
      <c r="F20" s="104">
        <v>80.742000000000004</v>
      </c>
      <c r="G20" s="518" t="s">
        <v>269</v>
      </c>
    </row>
    <row r="21" spans="1:7">
      <c r="A21" s="97" t="s">
        <v>254</v>
      </c>
      <c r="B21" s="98">
        <v>64.209000000000003</v>
      </c>
      <c r="C21" s="98">
        <v>87.218999999999994</v>
      </c>
      <c r="D21" s="98">
        <v>70.363</v>
      </c>
      <c r="E21" s="98">
        <v>77.775000000000006</v>
      </c>
      <c r="F21" s="104">
        <v>66.046000000000006</v>
      </c>
      <c r="G21" s="518"/>
    </row>
    <row r="22" spans="1:7">
      <c r="A22" s="97" t="s">
        <v>255</v>
      </c>
      <c r="B22" s="98">
        <v>53.786000000000001</v>
      </c>
      <c r="C22" s="98">
        <v>80.656999999999996</v>
      </c>
      <c r="D22" s="98">
        <v>46.258000000000003</v>
      </c>
      <c r="E22" s="98">
        <v>75.989999999999995</v>
      </c>
      <c r="F22" s="104">
        <v>64.694999999999993</v>
      </c>
      <c r="G22" s="518"/>
    </row>
    <row r="23" spans="1:7">
      <c r="A23" s="97" t="s">
        <v>256</v>
      </c>
      <c r="B23" s="98">
        <v>80.284999999999997</v>
      </c>
      <c r="C23" s="98">
        <v>64.069000000000003</v>
      </c>
      <c r="D23" s="98">
        <v>57.904000000000003</v>
      </c>
      <c r="E23" s="98">
        <v>67.739999999999995</v>
      </c>
      <c r="F23" s="104">
        <v>70.498000000000005</v>
      </c>
      <c r="G23" s="518"/>
    </row>
    <row r="24" spans="1:7">
      <c r="A24" s="97" t="s">
        <v>257</v>
      </c>
      <c r="B24" s="98">
        <v>71.637</v>
      </c>
      <c r="C24" s="98">
        <v>60.887999999999998</v>
      </c>
      <c r="D24" s="98">
        <v>60.225999999999999</v>
      </c>
      <c r="E24" s="98">
        <v>45.357999999999997</v>
      </c>
      <c r="F24" s="104">
        <v>70.638999999999996</v>
      </c>
      <c r="G24" s="518"/>
    </row>
    <row r="25" spans="1:7" ht="31.5">
      <c r="A25" s="97" t="s">
        <v>258</v>
      </c>
      <c r="B25" s="98">
        <v>68.606999999999999</v>
      </c>
      <c r="C25" s="98">
        <v>66.322000000000003</v>
      </c>
      <c r="D25" s="98">
        <v>68.459000000000003</v>
      </c>
      <c r="E25" s="98">
        <v>58.621000000000002</v>
      </c>
      <c r="F25" s="104">
        <v>61.588000000000001</v>
      </c>
      <c r="G25" s="518"/>
    </row>
    <row r="26" spans="1:7" ht="31.5">
      <c r="A26" s="97" t="s">
        <v>259</v>
      </c>
      <c r="B26" s="98">
        <v>64.495000000000005</v>
      </c>
      <c r="C26" s="98">
        <v>65.703000000000003</v>
      </c>
      <c r="D26" s="98">
        <v>53.725000000000001</v>
      </c>
      <c r="E26" s="98">
        <v>62.116999999999997</v>
      </c>
      <c r="F26" s="104">
        <v>71.194000000000003</v>
      </c>
      <c r="G26" s="518"/>
    </row>
    <row r="27" spans="1:7" ht="31.5">
      <c r="A27" s="97" t="s">
        <v>260</v>
      </c>
      <c r="B27" s="98">
        <v>63.930999999999997</v>
      </c>
      <c r="C27" s="98">
        <v>56.938000000000002</v>
      </c>
      <c r="D27" s="98">
        <v>56.055</v>
      </c>
      <c r="E27" s="98">
        <v>22.120999999999999</v>
      </c>
      <c r="F27" s="104">
        <v>63.807000000000002</v>
      </c>
      <c r="G27" s="518"/>
    </row>
    <row r="28" spans="1:7" ht="31.5">
      <c r="A28" s="97" t="s">
        <v>261</v>
      </c>
      <c r="B28" s="98">
        <v>81.72</v>
      </c>
      <c r="C28" s="98">
        <v>85.605000000000004</v>
      </c>
      <c r="D28" s="98">
        <v>67.575000000000003</v>
      </c>
      <c r="E28" s="98">
        <v>17.042000000000002</v>
      </c>
      <c r="F28" s="104">
        <v>68.974000000000004</v>
      </c>
      <c r="G28" s="518"/>
    </row>
    <row r="29" spans="1:7">
      <c r="A29" s="97" t="s">
        <v>262</v>
      </c>
      <c r="B29" s="98">
        <v>94.204999999999998</v>
      </c>
      <c r="C29" s="98">
        <v>93.442999999999998</v>
      </c>
      <c r="D29" s="98">
        <v>72.415000000000006</v>
      </c>
      <c r="E29" s="98">
        <v>53.837000000000003</v>
      </c>
      <c r="F29" s="104">
        <v>78.52</v>
      </c>
      <c r="G29" s="518"/>
    </row>
    <row r="30" spans="1:7" ht="31.5">
      <c r="A30" s="97" t="s">
        <v>263</v>
      </c>
      <c r="B30" s="98">
        <v>94.22</v>
      </c>
      <c r="C30" s="98">
        <v>93.718999999999994</v>
      </c>
      <c r="D30" s="98">
        <v>85.561000000000007</v>
      </c>
      <c r="E30" s="98">
        <v>71.509</v>
      </c>
      <c r="F30" s="104">
        <v>74.257000000000005</v>
      </c>
      <c r="G30" s="518"/>
    </row>
    <row r="31" spans="1:7">
      <c r="A31" s="97" t="s">
        <v>264</v>
      </c>
      <c r="B31" s="98">
        <v>92.825999999999993</v>
      </c>
      <c r="C31" s="98">
        <v>89.813999999999993</v>
      </c>
      <c r="D31" s="98">
        <v>86.150999999999996</v>
      </c>
      <c r="E31" s="98">
        <v>71.882999999999996</v>
      </c>
      <c r="F31" s="104">
        <v>85.471999999999994</v>
      </c>
      <c r="G31" s="518"/>
    </row>
    <row r="32" spans="1:7">
      <c r="A32" s="96" t="s">
        <v>265</v>
      </c>
      <c r="B32" s="99">
        <v>75.751999999999995</v>
      </c>
      <c r="C32" s="99">
        <v>77.716999999999999</v>
      </c>
      <c r="D32" s="100">
        <v>67.725999999999999</v>
      </c>
      <c r="E32" s="100">
        <v>58.917000000000002</v>
      </c>
      <c r="F32" s="105">
        <v>71.385999999999996</v>
      </c>
      <c r="G32" s="106"/>
    </row>
  </sheetData>
  <mergeCells count="5">
    <mergeCell ref="A2:G2"/>
    <mergeCell ref="A3:G3"/>
    <mergeCell ref="G5:G16"/>
    <mergeCell ref="A18:G18"/>
    <mergeCell ref="G20:G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7"/>
  <sheetViews>
    <sheetView topLeftCell="A10" workbookViewId="0">
      <selection activeCell="A18" sqref="A18"/>
    </sheetView>
  </sheetViews>
  <sheetFormatPr defaultRowHeight="12.75"/>
  <cols>
    <col min="1" max="1" width="10.5" style="107" customWidth="1"/>
    <col min="2" max="2" width="11.1640625" style="107" customWidth="1"/>
    <col min="3" max="3" width="13.1640625" style="107" customWidth="1"/>
    <col min="4" max="4" width="12" style="107" customWidth="1"/>
    <col min="5" max="5" width="15.83203125" style="107" customWidth="1"/>
    <col min="6" max="6" width="8.5" style="107" customWidth="1"/>
    <col min="7" max="7" width="13.33203125" style="107" customWidth="1"/>
    <col min="8" max="8" width="6.6640625" style="107" customWidth="1"/>
    <col min="9" max="9" width="13.83203125" style="107" customWidth="1"/>
    <col min="10" max="10" width="11" style="107" customWidth="1"/>
    <col min="11" max="11" width="12" style="107" customWidth="1"/>
    <col min="12" max="12" width="10" style="107" customWidth="1"/>
    <col min="13" max="13" width="10.83203125" style="107" customWidth="1"/>
    <col min="14" max="14" width="9.5" style="107" customWidth="1"/>
    <col min="15" max="15" width="2.6640625" style="107" customWidth="1"/>
    <col min="16" max="16384" width="9.33203125" style="107"/>
  </cols>
  <sheetData>
    <row r="1" spans="1:18" ht="14.1" customHeight="1">
      <c r="A1" s="521" t="s">
        <v>270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</row>
    <row r="2" spans="1:18" ht="12.95" customHeight="1">
      <c r="A2" s="108" t="s">
        <v>271</v>
      </c>
    </row>
    <row r="3" spans="1:18" ht="12.95" customHeight="1">
      <c r="A3" s="108" t="s">
        <v>272</v>
      </c>
    </row>
    <row r="4" spans="1:18" ht="12.95" customHeight="1">
      <c r="A4" s="107" t="s">
        <v>273</v>
      </c>
    </row>
    <row r="5" spans="1:18" ht="54" customHeight="1">
      <c r="A5" s="522" t="s">
        <v>274</v>
      </c>
      <c r="B5" s="522" t="s">
        <v>275</v>
      </c>
      <c r="C5" s="522" t="s">
        <v>276</v>
      </c>
      <c r="D5" s="522" t="s">
        <v>277</v>
      </c>
      <c r="E5" s="519" t="s">
        <v>278</v>
      </c>
      <c r="F5" s="524"/>
      <c r="G5" s="524"/>
      <c r="H5" s="524"/>
      <c r="I5" s="524"/>
      <c r="J5" s="520"/>
      <c r="K5" s="522" t="s">
        <v>279</v>
      </c>
      <c r="L5" s="525" t="s">
        <v>280</v>
      </c>
      <c r="M5" s="522" t="s">
        <v>281</v>
      </c>
      <c r="N5" s="522" t="s">
        <v>282</v>
      </c>
    </row>
    <row r="6" spans="1:18" ht="110.1" customHeight="1">
      <c r="A6" s="523"/>
      <c r="B6" s="523"/>
      <c r="C6" s="523"/>
      <c r="D6" s="523"/>
      <c r="E6" s="519" t="s">
        <v>283</v>
      </c>
      <c r="F6" s="520"/>
      <c r="G6" s="526" t="s">
        <v>284</v>
      </c>
      <c r="H6" s="520"/>
      <c r="I6" s="519" t="s">
        <v>285</v>
      </c>
      <c r="J6" s="520"/>
      <c r="K6" s="523"/>
      <c r="L6" s="523"/>
      <c r="M6" s="523"/>
      <c r="N6" s="523"/>
    </row>
    <row r="7" spans="1:18" ht="11.1" customHeight="1">
      <c r="A7" s="109"/>
      <c r="B7" s="109"/>
      <c r="C7" s="109"/>
      <c r="D7" s="109"/>
      <c r="E7" s="519"/>
      <c r="F7" s="520"/>
      <c r="G7" s="519"/>
      <c r="H7" s="520"/>
      <c r="I7" s="519"/>
      <c r="J7" s="520"/>
      <c r="K7" s="109"/>
      <c r="L7" s="109"/>
      <c r="M7" s="109"/>
      <c r="N7" s="109"/>
    </row>
    <row r="8" spans="1:18" ht="27">
      <c r="A8" s="109"/>
      <c r="B8" s="109"/>
      <c r="C8" s="109"/>
      <c r="D8" s="109"/>
      <c r="E8" s="110" t="s">
        <v>286</v>
      </c>
      <c r="F8" s="109" t="s">
        <v>287</v>
      </c>
      <c r="G8" s="111" t="s">
        <v>288</v>
      </c>
      <c r="H8" s="109" t="s">
        <v>289</v>
      </c>
      <c r="I8" s="112" t="s">
        <v>290</v>
      </c>
      <c r="J8" s="109" t="s">
        <v>289</v>
      </c>
      <c r="K8" s="113"/>
      <c r="L8" s="109"/>
      <c r="M8" s="109"/>
      <c r="N8" s="109"/>
    </row>
    <row r="9" spans="1:18" ht="31.5" customHeight="1">
      <c r="A9" s="111" t="s">
        <v>291</v>
      </c>
      <c r="B9" s="109"/>
      <c r="C9" s="112">
        <v>390</v>
      </c>
      <c r="D9" s="112">
        <v>0</v>
      </c>
      <c r="E9" s="109"/>
      <c r="F9" s="109"/>
      <c r="G9" s="112"/>
      <c r="H9" s="112">
        <f>+C9</f>
        <v>390</v>
      </c>
      <c r="I9" s="112" t="s">
        <v>237</v>
      </c>
      <c r="J9" s="114">
        <v>0</v>
      </c>
      <c r="K9" s="115">
        <v>139.62</v>
      </c>
      <c r="L9" s="116">
        <f>+F9+H9+J9+K9</f>
        <v>529.62</v>
      </c>
      <c r="M9" s="117">
        <v>529.62</v>
      </c>
      <c r="N9" s="109"/>
      <c r="Q9" s="118"/>
      <c r="R9" s="118"/>
    </row>
    <row r="10" spans="1:18" ht="33" customHeight="1">
      <c r="A10" s="111" t="s">
        <v>292</v>
      </c>
      <c r="B10" s="109"/>
      <c r="C10" s="112">
        <v>390</v>
      </c>
      <c r="D10" s="112">
        <v>0</v>
      </c>
      <c r="E10" s="109"/>
      <c r="F10" s="109"/>
      <c r="G10" s="112"/>
      <c r="H10" s="112">
        <f t="shared" ref="H10:H13" si="0">+C10</f>
        <v>390</v>
      </c>
      <c r="I10" s="112" t="s">
        <v>237</v>
      </c>
      <c r="J10" s="114">
        <v>0</v>
      </c>
      <c r="K10" s="115">
        <v>125.21000000000004</v>
      </c>
      <c r="L10" s="116">
        <f t="shared" ref="L10:L13" si="1">+F10+H10+J10+K10</f>
        <v>515.21</v>
      </c>
      <c r="M10" s="117">
        <v>515.21</v>
      </c>
      <c r="N10" s="109"/>
      <c r="Q10" s="118"/>
      <c r="R10" s="118"/>
    </row>
    <row r="11" spans="1:18" ht="34.5" customHeight="1">
      <c r="A11" s="111" t="s">
        <v>293</v>
      </c>
      <c r="B11" s="109"/>
      <c r="C11" s="112">
        <v>390</v>
      </c>
      <c r="D11" s="112">
        <v>0</v>
      </c>
      <c r="E11" s="109"/>
      <c r="F11" s="109"/>
      <c r="G11" s="112"/>
      <c r="H11" s="112">
        <f t="shared" si="0"/>
        <v>390</v>
      </c>
      <c r="I11" s="112" t="s">
        <v>237</v>
      </c>
      <c r="J11" s="114">
        <v>0</v>
      </c>
      <c r="K11" s="115">
        <v>87.13</v>
      </c>
      <c r="L11" s="116">
        <f t="shared" si="1"/>
        <v>477.13</v>
      </c>
      <c r="M11" s="117">
        <v>477.13</v>
      </c>
      <c r="N11" s="109"/>
      <c r="Q11" s="118"/>
      <c r="R11" s="118"/>
    </row>
    <row r="12" spans="1:18" ht="30.75" customHeight="1">
      <c r="A12" s="111" t="s">
        <v>294</v>
      </c>
      <c r="B12" s="109"/>
      <c r="C12" s="112">
        <v>390</v>
      </c>
      <c r="D12" s="112">
        <v>0</v>
      </c>
      <c r="E12" s="109"/>
      <c r="F12" s="109"/>
      <c r="G12" s="112"/>
      <c r="H12" s="112">
        <f t="shared" si="0"/>
        <v>390</v>
      </c>
      <c r="I12" s="112" t="s">
        <v>237</v>
      </c>
      <c r="J12" s="114">
        <v>0</v>
      </c>
      <c r="K12" s="115">
        <v>310.72000000000003</v>
      </c>
      <c r="L12" s="116">
        <f t="shared" si="1"/>
        <v>700.72</v>
      </c>
      <c r="M12" s="117">
        <v>700.72</v>
      </c>
      <c r="N12" s="109"/>
      <c r="Q12" s="118"/>
      <c r="R12" s="118"/>
    </row>
    <row r="13" spans="1:18" ht="30.75" customHeight="1">
      <c r="A13" s="111" t="s">
        <v>295</v>
      </c>
      <c r="B13" s="109"/>
      <c r="C13" s="112">
        <v>390</v>
      </c>
      <c r="D13" s="112">
        <v>0</v>
      </c>
      <c r="E13" s="113"/>
      <c r="F13" s="109"/>
      <c r="G13" s="112"/>
      <c r="H13" s="112">
        <f t="shared" si="0"/>
        <v>390</v>
      </c>
      <c r="I13" s="112" t="s">
        <v>237</v>
      </c>
      <c r="J13" s="114">
        <v>0</v>
      </c>
      <c r="K13" s="115">
        <v>367.84000000000003</v>
      </c>
      <c r="L13" s="116">
        <f t="shared" si="1"/>
        <v>757.84</v>
      </c>
      <c r="M13" s="117">
        <v>757.84</v>
      </c>
      <c r="N13" s="109"/>
      <c r="Q13" s="118"/>
      <c r="R13" s="118"/>
    </row>
    <row r="14" spans="1:18">
      <c r="A14" s="109" t="s">
        <v>296</v>
      </c>
      <c r="B14" s="109"/>
      <c r="C14" s="112">
        <v>0</v>
      </c>
      <c r="D14" s="114" t="s">
        <v>237</v>
      </c>
      <c r="E14" s="119"/>
      <c r="G14" s="119"/>
      <c r="H14" s="117"/>
      <c r="I14" s="112"/>
      <c r="J14" s="112"/>
      <c r="K14" s="120"/>
      <c r="L14" s="117"/>
      <c r="M14" s="117"/>
      <c r="N14" s="109"/>
    </row>
    <row r="15" spans="1:18">
      <c r="A15" s="109" t="s">
        <v>60</v>
      </c>
      <c r="B15" s="109"/>
      <c r="C15" s="112">
        <v>0</v>
      </c>
      <c r="D15" s="114" t="s">
        <v>237</v>
      </c>
      <c r="E15" s="119"/>
      <c r="F15" s="121"/>
      <c r="G15" s="119"/>
      <c r="H15" s="117"/>
      <c r="I15" s="109"/>
      <c r="J15" s="109"/>
      <c r="K15" s="109"/>
      <c r="L15" s="117"/>
      <c r="M15" s="117"/>
      <c r="N15" s="109"/>
    </row>
    <row r="16" spans="1:18" ht="14.25">
      <c r="A16" s="111" t="s">
        <v>61</v>
      </c>
      <c r="B16" s="109"/>
      <c r="C16" s="112">
        <v>0</v>
      </c>
      <c r="D16" s="114" t="s">
        <v>237</v>
      </c>
      <c r="E16" s="119"/>
      <c r="F16" s="121"/>
      <c r="G16" s="119"/>
      <c r="H16" s="117"/>
      <c r="I16" s="109"/>
      <c r="J16" s="109"/>
      <c r="K16" s="109"/>
      <c r="L16" s="117"/>
      <c r="M16" s="117"/>
      <c r="N16" s="109"/>
    </row>
    <row r="17" spans="1:1" ht="12.95" customHeight="1">
      <c r="A17" s="107" t="s">
        <v>297</v>
      </c>
    </row>
  </sheetData>
  <mergeCells count="16">
    <mergeCell ref="E7:F7"/>
    <mergeCell ref="G7:H7"/>
    <mergeCell ref="I7:J7"/>
    <mergeCell ref="A1:N1"/>
    <mergeCell ref="A5:A6"/>
    <mergeCell ref="B5:B6"/>
    <mergeCell ref="C5:C6"/>
    <mergeCell ref="D5:D6"/>
    <mergeCell ref="E5:J5"/>
    <mergeCell ref="K5:K6"/>
    <mergeCell ref="L5:L6"/>
    <mergeCell ref="M5:M6"/>
    <mergeCell ref="N5:N6"/>
    <mergeCell ref="E6:F6"/>
    <mergeCell ref="G6:H6"/>
    <mergeCell ref="I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8"/>
  <sheetViews>
    <sheetView workbookViewId="0">
      <pane ySplit="3" topLeftCell="A41" activePane="bottomLeft" state="frozen"/>
      <selection sqref="A1:K1"/>
      <selection pane="bottomLeft" sqref="A1:K44"/>
    </sheetView>
  </sheetViews>
  <sheetFormatPr defaultColWidth="10.6640625" defaultRowHeight="15"/>
  <cols>
    <col min="1" max="1" width="6.5" style="332" customWidth="1"/>
    <col min="2" max="2" width="6" style="332" hidden="1" customWidth="1"/>
    <col min="3" max="3" width="9.6640625" style="332" hidden="1" customWidth="1"/>
    <col min="4" max="4" width="8.5" style="332" hidden="1" customWidth="1"/>
    <col min="5" max="5" width="15" style="332" bestFit="1" customWidth="1"/>
    <col min="6" max="6" width="54.6640625" style="332" customWidth="1"/>
    <col min="7" max="7" width="17.33203125" style="332" customWidth="1"/>
    <col min="8" max="8" width="15.33203125" style="332" bestFit="1" customWidth="1"/>
    <col min="9" max="9" width="16.83203125" style="332" customWidth="1"/>
    <col min="10" max="10" width="17.1640625" style="332" customWidth="1"/>
    <col min="11" max="11" width="19.1640625" style="350" customWidth="1"/>
    <col min="12" max="16384" width="10.6640625" style="332"/>
  </cols>
  <sheetData>
    <row r="1" spans="1:11" ht="18.75">
      <c r="A1" s="527" t="s">
        <v>713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8.75">
      <c r="A2" s="528" t="s">
        <v>714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</row>
    <row r="3" spans="1:11" s="336" customFormat="1" ht="38.25">
      <c r="A3" s="333" t="s">
        <v>715</v>
      </c>
      <c r="B3" s="334" t="s">
        <v>195</v>
      </c>
      <c r="C3" s="334" t="s">
        <v>716</v>
      </c>
      <c r="D3" s="334" t="s">
        <v>717</v>
      </c>
      <c r="E3" s="334" t="s">
        <v>718</v>
      </c>
      <c r="F3" s="334" t="s">
        <v>719</v>
      </c>
      <c r="G3" s="334" t="s">
        <v>720</v>
      </c>
      <c r="H3" s="334" t="s">
        <v>721</v>
      </c>
      <c r="I3" s="334" t="s">
        <v>722</v>
      </c>
      <c r="J3" s="334" t="s">
        <v>723</v>
      </c>
      <c r="K3" s="335" t="s">
        <v>51</v>
      </c>
    </row>
    <row r="4" spans="1:11">
      <c r="A4" s="337">
        <v>1</v>
      </c>
      <c r="B4" s="338">
        <v>2</v>
      </c>
      <c r="C4" s="338">
        <v>2</v>
      </c>
      <c r="D4" s="338">
        <v>1107</v>
      </c>
      <c r="E4" s="338">
        <v>2540460757</v>
      </c>
      <c r="F4" s="338" t="s">
        <v>724</v>
      </c>
      <c r="G4" s="339">
        <v>602079</v>
      </c>
      <c r="H4" s="339">
        <v>0</v>
      </c>
      <c r="I4" s="339">
        <v>0</v>
      </c>
      <c r="J4" s="340">
        <v>602079</v>
      </c>
      <c r="K4" s="341" t="s">
        <v>725</v>
      </c>
    </row>
    <row r="5" spans="1:11">
      <c r="A5" s="337">
        <v>2</v>
      </c>
      <c r="B5" s="338">
        <v>2</v>
      </c>
      <c r="C5" s="338">
        <v>2</v>
      </c>
      <c r="D5" s="338">
        <v>1107</v>
      </c>
      <c r="E5" s="338">
        <v>2545481186</v>
      </c>
      <c r="F5" s="338" t="s">
        <v>726</v>
      </c>
      <c r="G5" s="339">
        <v>11326756</v>
      </c>
      <c r="H5" s="339">
        <v>0</v>
      </c>
      <c r="I5" s="339">
        <v>0</v>
      </c>
      <c r="J5" s="340">
        <v>11326756</v>
      </c>
      <c r="K5" s="342" t="s">
        <v>727</v>
      </c>
    </row>
    <row r="6" spans="1:11">
      <c r="A6" s="337">
        <v>3</v>
      </c>
      <c r="B6" s="338">
        <v>2</v>
      </c>
      <c r="C6" s="338">
        <v>2</v>
      </c>
      <c r="D6" s="338">
        <v>1107</v>
      </c>
      <c r="E6" s="338">
        <v>2545481187</v>
      </c>
      <c r="F6" s="338" t="s">
        <v>728</v>
      </c>
      <c r="G6" s="339">
        <v>6628978</v>
      </c>
      <c r="H6" s="339">
        <v>0</v>
      </c>
      <c r="I6" s="339">
        <v>0</v>
      </c>
      <c r="J6" s="340">
        <v>6628978</v>
      </c>
      <c r="K6" s="342" t="s">
        <v>727</v>
      </c>
    </row>
    <row r="7" spans="1:11">
      <c r="A7" s="337">
        <v>4</v>
      </c>
      <c r="B7" s="338">
        <v>2</v>
      </c>
      <c r="C7" s="338">
        <v>2</v>
      </c>
      <c r="D7" s="338">
        <v>1107</v>
      </c>
      <c r="E7" s="338">
        <v>2545530439</v>
      </c>
      <c r="F7" s="338" t="s">
        <v>729</v>
      </c>
      <c r="G7" s="339">
        <v>5795519</v>
      </c>
      <c r="H7" s="339">
        <v>0</v>
      </c>
      <c r="I7" s="339">
        <v>0</v>
      </c>
      <c r="J7" s="340">
        <v>5795519</v>
      </c>
      <c r="K7" s="342" t="s">
        <v>727</v>
      </c>
    </row>
    <row r="8" spans="1:11">
      <c r="A8" s="337">
        <v>5</v>
      </c>
      <c r="B8" s="338">
        <v>2</v>
      </c>
      <c r="C8" s="338">
        <v>2</v>
      </c>
      <c r="D8" s="338">
        <v>1107</v>
      </c>
      <c r="E8" s="338">
        <v>2545530443</v>
      </c>
      <c r="F8" s="338" t="s">
        <v>729</v>
      </c>
      <c r="G8" s="339">
        <v>5795517</v>
      </c>
      <c r="H8" s="339">
        <v>0</v>
      </c>
      <c r="I8" s="339">
        <v>0</v>
      </c>
      <c r="J8" s="340">
        <v>5795517</v>
      </c>
      <c r="K8" s="342" t="s">
        <v>727</v>
      </c>
    </row>
    <row r="9" spans="1:11">
      <c r="A9" s="337">
        <v>6</v>
      </c>
      <c r="B9" s="338">
        <v>2</v>
      </c>
      <c r="C9" s="338">
        <v>2</v>
      </c>
      <c r="D9" s="338">
        <v>1107</v>
      </c>
      <c r="E9" s="338">
        <v>2545602041</v>
      </c>
      <c r="F9" s="338" t="s">
        <v>730</v>
      </c>
      <c r="G9" s="339">
        <v>30000</v>
      </c>
      <c r="H9" s="339">
        <v>0</v>
      </c>
      <c r="I9" s="339">
        <v>0</v>
      </c>
      <c r="J9" s="340">
        <v>30000</v>
      </c>
      <c r="K9" s="342" t="s">
        <v>727</v>
      </c>
    </row>
    <row r="10" spans="1:11">
      <c r="A10" s="337">
        <v>7</v>
      </c>
      <c r="B10" s="338">
        <v>2</v>
      </c>
      <c r="C10" s="338">
        <v>2</v>
      </c>
      <c r="D10" s="338">
        <v>1107</v>
      </c>
      <c r="E10" s="338">
        <v>2545602042</v>
      </c>
      <c r="F10" s="338" t="s">
        <v>730</v>
      </c>
      <c r="G10" s="339">
        <v>30000</v>
      </c>
      <c r="H10" s="339">
        <v>0</v>
      </c>
      <c r="I10" s="339">
        <v>0</v>
      </c>
      <c r="J10" s="340">
        <v>30000</v>
      </c>
      <c r="K10" s="342" t="s">
        <v>727</v>
      </c>
    </row>
    <row r="11" spans="1:11">
      <c r="A11" s="337">
        <v>8</v>
      </c>
      <c r="B11" s="338">
        <v>2</v>
      </c>
      <c r="C11" s="338">
        <v>2</v>
      </c>
      <c r="D11" s="338">
        <v>1107</v>
      </c>
      <c r="E11" s="338">
        <v>2545602043</v>
      </c>
      <c r="F11" s="338" t="s">
        <v>730</v>
      </c>
      <c r="G11" s="339">
        <v>30000</v>
      </c>
      <c r="H11" s="339">
        <v>0</v>
      </c>
      <c r="I11" s="339">
        <v>0</v>
      </c>
      <c r="J11" s="340">
        <v>30000</v>
      </c>
      <c r="K11" s="342" t="s">
        <v>727</v>
      </c>
    </row>
    <row r="12" spans="1:11">
      <c r="A12" s="337">
        <v>9</v>
      </c>
      <c r="B12" s="338">
        <v>2</v>
      </c>
      <c r="C12" s="338">
        <v>2</v>
      </c>
      <c r="D12" s="338">
        <v>1107</v>
      </c>
      <c r="E12" s="338">
        <v>2545602044</v>
      </c>
      <c r="F12" s="338" t="s">
        <v>730</v>
      </c>
      <c r="G12" s="339">
        <v>30000</v>
      </c>
      <c r="H12" s="339">
        <v>0</v>
      </c>
      <c r="I12" s="339">
        <v>0</v>
      </c>
      <c r="J12" s="340">
        <v>30000</v>
      </c>
      <c r="K12" s="342" t="s">
        <v>727</v>
      </c>
    </row>
    <row r="13" spans="1:11">
      <c r="A13" s="337">
        <v>10</v>
      </c>
      <c r="B13" s="338">
        <v>2</v>
      </c>
      <c r="C13" s="338">
        <v>2</v>
      </c>
      <c r="D13" s="338">
        <v>1107</v>
      </c>
      <c r="E13" s="338">
        <v>2575910998</v>
      </c>
      <c r="F13" s="338" t="s">
        <v>731</v>
      </c>
      <c r="G13" s="339">
        <v>68270</v>
      </c>
      <c r="H13" s="339">
        <v>0</v>
      </c>
      <c r="I13" s="339">
        <v>0</v>
      </c>
      <c r="J13" s="340">
        <v>68270</v>
      </c>
      <c r="K13" s="342" t="s">
        <v>727</v>
      </c>
    </row>
    <row r="14" spans="1:11">
      <c r="A14" s="337">
        <v>11</v>
      </c>
      <c r="B14" s="338">
        <v>2</v>
      </c>
      <c r="C14" s="338">
        <v>2</v>
      </c>
      <c r="D14" s="338">
        <v>1107</v>
      </c>
      <c r="E14" s="338">
        <v>2575910999</v>
      </c>
      <c r="F14" s="338" t="s">
        <v>731</v>
      </c>
      <c r="G14" s="339">
        <v>68270</v>
      </c>
      <c r="H14" s="339">
        <v>0</v>
      </c>
      <c r="I14" s="339">
        <v>0</v>
      </c>
      <c r="J14" s="340">
        <v>68270</v>
      </c>
      <c r="K14" s="342" t="s">
        <v>727</v>
      </c>
    </row>
    <row r="15" spans="1:11">
      <c r="A15" s="337">
        <v>12</v>
      </c>
      <c r="B15" s="338">
        <v>2</v>
      </c>
      <c r="C15" s="338">
        <v>2</v>
      </c>
      <c r="D15" s="338">
        <v>1107</v>
      </c>
      <c r="E15" s="338">
        <v>2575950472</v>
      </c>
      <c r="F15" s="338" t="s">
        <v>732</v>
      </c>
      <c r="G15" s="339">
        <v>168700</v>
      </c>
      <c r="H15" s="339">
        <v>0</v>
      </c>
      <c r="I15" s="339">
        <v>0</v>
      </c>
      <c r="J15" s="340">
        <v>168700</v>
      </c>
      <c r="K15" s="342" t="s">
        <v>727</v>
      </c>
    </row>
    <row r="16" spans="1:11">
      <c r="A16" s="337">
        <v>13</v>
      </c>
      <c r="B16" s="338">
        <v>2</v>
      </c>
      <c r="C16" s="338">
        <v>2</v>
      </c>
      <c r="D16" s="338">
        <v>1108</v>
      </c>
      <c r="E16" s="338">
        <v>7510056391</v>
      </c>
      <c r="F16" s="338" t="s">
        <v>733</v>
      </c>
      <c r="G16" s="339">
        <v>16486</v>
      </c>
      <c r="H16" s="339">
        <v>0</v>
      </c>
      <c r="I16" s="339">
        <v>0</v>
      </c>
      <c r="J16" s="340">
        <v>16486</v>
      </c>
      <c r="K16" s="342" t="s">
        <v>727</v>
      </c>
    </row>
    <row r="17" spans="1:19">
      <c r="A17" s="337">
        <v>14</v>
      </c>
      <c r="B17" s="338">
        <v>2</v>
      </c>
      <c r="C17" s="338">
        <v>2</v>
      </c>
      <c r="D17" s="338">
        <v>1108</v>
      </c>
      <c r="E17" s="338">
        <v>7510056392</v>
      </c>
      <c r="F17" s="338" t="s">
        <v>733</v>
      </c>
      <c r="G17" s="339">
        <v>16486</v>
      </c>
      <c r="H17" s="339">
        <v>0</v>
      </c>
      <c r="I17" s="339">
        <v>0</v>
      </c>
      <c r="J17" s="340">
        <v>16486</v>
      </c>
      <c r="K17" s="342" t="s">
        <v>727</v>
      </c>
    </row>
    <row r="18" spans="1:19">
      <c r="A18" s="337">
        <v>15</v>
      </c>
      <c r="B18" s="338">
        <v>2</v>
      </c>
      <c r="C18" s="338">
        <v>2</v>
      </c>
      <c r="D18" s="338">
        <v>1108</v>
      </c>
      <c r="E18" s="338">
        <v>7510056393</v>
      </c>
      <c r="F18" s="338" t="s">
        <v>734</v>
      </c>
      <c r="G18" s="339">
        <v>32972</v>
      </c>
      <c r="H18" s="339">
        <v>0</v>
      </c>
      <c r="I18" s="339">
        <v>0</v>
      </c>
      <c r="J18" s="340">
        <v>32972</v>
      </c>
      <c r="K18" s="342" t="s">
        <v>727</v>
      </c>
    </row>
    <row r="19" spans="1:19">
      <c r="A19" s="337">
        <v>16</v>
      </c>
      <c r="B19" s="338">
        <v>2</v>
      </c>
      <c r="C19" s="338">
        <v>2</v>
      </c>
      <c r="D19" s="338">
        <v>1108</v>
      </c>
      <c r="E19" s="338">
        <v>7510056476</v>
      </c>
      <c r="F19" s="338" t="s">
        <v>735</v>
      </c>
      <c r="G19" s="339">
        <v>24250</v>
      </c>
      <c r="H19" s="339">
        <v>0</v>
      </c>
      <c r="I19" s="339">
        <v>0</v>
      </c>
      <c r="J19" s="340">
        <v>24250</v>
      </c>
      <c r="K19" s="342" t="s">
        <v>727</v>
      </c>
    </row>
    <row r="20" spans="1:19">
      <c r="A20" s="337">
        <v>17</v>
      </c>
      <c r="B20" s="338">
        <v>2</v>
      </c>
      <c r="C20" s="338">
        <v>2</v>
      </c>
      <c r="D20" s="338">
        <v>1115</v>
      </c>
      <c r="E20" s="338">
        <v>7520100924</v>
      </c>
      <c r="F20" s="338" t="s">
        <v>736</v>
      </c>
      <c r="G20" s="339">
        <v>139850</v>
      </c>
      <c r="H20" s="339">
        <v>0</v>
      </c>
      <c r="I20" s="339">
        <v>0</v>
      </c>
      <c r="J20" s="340">
        <v>139850</v>
      </c>
      <c r="K20" s="342" t="s">
        <v>727</v>
      </c>
    </row>
    <row r="21" spans="1:19">
      <c r="A21" s="337">
        <v>18</v>
      </c>
      <c r="B21" s="338">
        <v>2</v>
      </c>
      <c r="C21" s="338">
        <v>2</v>
      </c>
      <c r="D21" s="338">
        <v>1115</v>
      </c>
      <c r="E21" s="338">
        <v>7520100926</v>
      </c>
      <c r="F21" s="338" t="s">
        <v>737</v>
      </c>
      <c r="G21" s="339">
        <v>906549</v>
      </c>
      <c r="H21" s="339">
        <v>0</v>
      </c>
      <c r="I21" s="339">
        <v>0</v>
      </c>
      <c r="J21" s="340">
        <v>906549</v>
      </c>
      <c r="K21" s="342" t="s">
        <v>727</v>
      </c>
    </row>
    <row r="22" spans="1:19">
      <c r="A22" s="337">
        <v>19</v>
      </c>
      <c r="B22" s="338">
        <v>2</v>
      </c>
      <c r="C22" s="338">
        <v>2</v>
      </c>
      <c r="D22" s="338">
        <v>1115</v>
      </c>
      <c r="E22" s="338">
        <v>7520100927</v>
      </c>
      <c r="F22" s="338" t="s">
        <v>738</v>
      </c>
      <c r="G22" s="339">
        <v>139000</v>
      </c>
      <c r="H22" s="339">
        <v>0</v>
      </c>
      <c r="I22" s="339">
        <v>0</v>
      </c>
      <c r="J22" s="340">
        <v>139000</v>
      </c>
      <c r="K22" s="342" t="s">
        <v>727</v>
      </c>
    </row>
    <row r="23" spans="1:19">
      <c r="A23" s="337">
        <v>20</v>
      </c>
      <c r="B23" s="338">
        <v>2</v>
      </c>
      <c r="C23" s="338">
        <v>2</v>
      </c>
      <c r="D23" s="338">
        <v>1115</v>
      </c>
      <c r="E23" s="338">
        <v>7520100928</v>
      </c>
      <c r="F23" s="338" t="s">
        <v>739</v>
      </c>
      <c r="G23" s="339">
        <v>6800</v>
      </c>
      <c r="H23" s="339">
        <v>0</v>
      </c>
      <c r="I23" s="339">
        <v>0</v>
      </c>
      <c r="J23" s="340">
        <v>6800</v>
      </c>
      <c r="K23" s="342" t="s">
        <v>727</v>
      </c>
    </row>
    <row r="24" spans="1:19">
      <c r="A24" s="337">
        <v>21</v>
      </c>
      <c r="B24" s="338">
        <v>2</v>
      </c>
      <c r="C24" s="338">
        <v>2</v>
      </c>
      <c r="D24" s="338">
        <v>1115</v>
      </c>
      <c r="E24" s="338">
        <v>7520100945</v>
      </c>
      <c r="F24" s="338" t="s">
        <v>740</v>
      </c>
      <c r="G24" s="339">
        <v>44400</v>
      </c>
      <c r="H24" s="339">
        <v>0</v>
      </c>
      <c r="I24" s="339">
        <v>0</v>
      </c>
      <c r="J24" s="340">
        <v>44400</v>
      </c>
      <c r="K24" s="342" t="s">
        <v>727</v>
      </c>
    </row>
    <row r="25" spans="1:19">
      <c r="A25" s="337">
        <v>22</v>
      </c>
      <c r="B25" s="338">
        <v>2</v>
      </c>
      <c r="C25" s="338">
        <v>2</v>
      </c>
      <c r="D25" s="338">
        <v>1115</v>
      </c>
      <c r="E25" s="338">
        <v>7520400029</v>
      </c>
      <c r="F25" s="338" t="s">
        <v>741</v>
      </c>
      <c r="G25" s="339">
        <v>109689</v>
      </c>
      <c r="H25" s="339">
        <v>0</v>
      </c>
      <c r="I25" s="339">
        <v>0</v>
      </c>
      <c r="J25" s="340">
        <v>109689</v>
      </c>
      <c r="K25" s="342" t="s">
        <v>727</v>
      </c>
    </row>
    <row r="26" spans="1:19">
      <c r="A26" s="337">
        <v>23</v>
      </c>
      <c r="B26" s="338">
        <v>2</v>
      </c>
      <c r="C26" s="338">
        <v>2</v>
      </c>
      <c r="D26" s="338">
        <v>1115</v>
      </c>
      <c r="E26" s="338">
        <v>7520400030</v>
      </c>
      <c r="F26" s="338" t="s">
        <v>742</v>
      </c>
      <c r="G26" s="339">
        <v>210023</v>
      </c>
      <c r="H26" s="339">
        <v>0</v>
      </c>
      <c r="I26" s="339">
        <v>0</v>
      </c>
      <c r="J26" s="340">
        <v>210023</v>
      </c>
      <c r="K26" s="342" t="s">
        <v>727</v>
      </c>
      <c r="S26" s="332">
        <f>0.65*600</f>
        <v>390</v>
      </c>
    </row>
    <row r="27" spans="1:19">
      <c r="A27" s="337">
        <v>24</v>
      </c>
      <c r="B27" s="338">
        <v>2</v>
      </c>
      <c r="C27" s="338">
        <v>2</v>
      </c>
      <c r="D27" s="338">
        <v>1116</v>
      </c>
      <c r="E27" s="338">
        <v>7520150995</v>
      </c>
      <c r="F27" s="338" t="s">
        <v>743</v>
      </c>
      <c r="G27" s="339">
        <v>33030</v>
      </c>
      <c r="H27" s="339">
        <v>0</v>
      </c>
      <c r="I27" s="339">
        <v>0</v>
      </c>
      <c r="J27" s="340">
        <v>33030</v>
      </c>
      <c r="K27" s="341" t="s">
        <v>725</v>
      </c>
    </row>
    <row r="28" spans="1:19">
      <c r="A28" s="337">
        <v>25</v>
      </c>
      <c r="B28" s="338">
        <v>2</v>
      </c>
      <c r="C28" s="338">
        <v>2</v>
      </c>
      <c r="D28" s="338">
        <v>1116</v>
      </c>
      <c r="E28" s="338">
        <v>7520150999</v>
      </c>
      <c r="F28" s="338" t="s">
        <v>744</v>
      </c>
      <c r="G28" s="339">
        <v>78939</v>
      </c>
      <c r="H28" s="339">
        <v>0</v>
      </c>
      <c r="I28" s="339">
        <v>0</v>
      </c>
      <c r="J28" s="340">
        <v>78939</v>
      </c>
      <c r="K28" s="342" t="s">
        <v>727</v>
      </c>
    </row>
    <row r="29" spans="1:19">
      <c r="A29" s="337">
        <v>26</v>
      </c>
      <c r="B29" s="338">
        <v>2</v>
      </c>
      <c r="C29" s="338">
        <v>2</v>
      </c>
      <c r="D29" s="338">
        <v>1129</v>
      </c>
      <c r="E29" s="338">
        <v>9010010030</v>
      </c>
      <c r="F29" s="338" t="s">
        <v>745</v>
      </c>
      <c r="G29" s="339">
        <v>100670</v>
      </c>
      <c r="H29" s="339">
        <v>0</v>
      </c>
      <c r="I29" s="339">
        <v>0</v>
      </c>
      <c r="J29" s="340">
        <v>100670</v>
      </c>
      <c r="K29" s="342" t="s">
        <v>727</v>
      </c>
    </row>
    <row r="30" spans="1:19">
      <c r="A30" s="337">
        <v>27</v>
      </c>
      <c r="B30" s="338">
        <v>2</v>
      </c>
      <c r="C30" s="338">
        <v>2</v>
      </c>
      <c r="D30" s="338">
        <v>1129</v>
      </c>
      <c r="E30" s="338">
        <v>9030011340</v>
      </c>
      <c r="F30" s="338" t="s">
        <v>746</v>
      </c>
      <c r="G30" s="339">
        <v>10440</v>
      </c>
      <c r="H30" s="339">
        <v>0</v>
      </c>
      <c r="I30" s="339">
        <v>0</v>
      </c>
      <c r="J30" s="340">
        <v>10440</v>
      </c>
      <c r="K30" s="342" t="s">
        <v>727</v>
      </c>
    </row>
    <row r="31" spans="1:19">
      <c r="A31" s="337">
        <v>28</v>
      </c>
      <c r="B31" s="338">
        <v>2</v>
      </c>
      <c r="C31" s="338">
        <v>2</v>
      </c>
      <c r="D31" s="343">
        <v>1107</v>
      </c>
      <c r="E31" s="343">
        <v>2545550129</v>
      </c>
      <c r="F31" s="344" t="s">
        <v>747</v>
      </c>
      <c r="G31" s="345">
        <v>19382990</v>
      </c>
      <c r="H31" s="346">
        <v>43694</v>
      </c>
      <c r="I31" s="345">
        <v>0</v>
      </c>
      <c r="J31" s="347">
        <f t="shared" ref="J31:J44" si="0">+G31+H31-I31</f>
        <v>19426684</v>
      </c>
      <c r="K31" s="341" t="s">
        <v>725</v>
      </c>
    </row>
    <row r="32" spans="1:19" ht="15" customHeight="1">
      <c r="A32" s="337">
        <v>29</v>
      </c>
      <c r="B32" s="338">
        <v>2</v>
      </c>
      <c r="C32" s="338">
        <v>2</v>
      </c>
      <c r="D32" s="343">
        <v>1107</v>
      </c>
      <c r="E32" s="343">
        <v>2545601943</v>
      </c>
      <c r="F32" s="348" t="s">
        <v>748</v>
      </c>
      <c r="G32" s="345">
        <v>8925219</v>
      </c>
      <c r="H32" s="346">
        <v>128897</v>
      </c>
      <c r="I32" s="345">
        <v>0</v>
      </c>
      <c r="J32" s="347">
        <f t="shared" si="0"/>
        <v>9054116</v>
      </c>
      <c r="K32" s="529" t="s">
        <v>749</v>
      </c>
    </row>
    <row r="33" spans="1:11">
      <c r="A33" s="337">
        <v>30</v>
      </c>
      <c r="B33" s="338">
        <v>2</v>
      </c>
      <c r="C33" s="338">
        <v>2</v>
      </c>
      <c r="D33" s="343">
        <v>1107</v>
      </c>
      <c r="E33" s="343">
        <v>2545601944</v>
      </c>
      <c r="F33" s="348" t="s">
        <v>748</v>
      </c>
      <c r="G33" s="345">
        <v>8925219</v>
      </c>
      <c r="H33" s="346">
        <v>128897</v>
      </c>
      <c r="I33" s="345">
        <v>0</v>
      </c>
      <c r="J33" s="347">
        <f t="shared" si="0"/>
        <v>9054116</v>
      </c>
      <c r="K33" s="530"/>
    </row>
    <row r="34" spans="1:11">
      <c r="A34" s="337">
        <v>31</v>
      </c>
      <c r="B34" s="338">
        <v>2</v>
      </c>
      <c r="C34" s="338">
        <v>2</v>
      </c>
      <c r="D34" s="343">
        <v>1107</v>
      </c>
      <c r="E34" s="343">
        <v>2545601945</v>
      </c>
      <c r="F34" s="348" t="s">
        <v>748</v>
      </c>
      <c r="G34" s="345">
        <v>8925219</v>
      </c>
      <c r="H34" s="346">
        <v>128897</v>
      </c>
      <c r="I34" s="345">
        <v>0</v>
      </c>
      <c r="J34" s="347">
        <f t="shared" si="0"/>
        <v>9054116</v>
      </c>
      <c r="K34" s="530"/>
    </row>
    <row r="35" spans="1:11">
      <c r="A35" s="337">
        <v>32</v>
      </c>
      <c r="B35" s="338">
        <v>2</v>
      </c>
      <c r="C35" s="338">
        <v>2</v>
      </c>
      <c r="D35" s="343">
        <v>1107</v>
      </c>
      <c r="E35" s="343">
        <v>2545601946</v>
      </c>
      <c r="F35" s="348" t="s">
        <v>748</v>
      </c>
      <c r="G35" s="345">
        <v>8925219</v>
      </c>
      <c r="H35" s="346">
        <v>128897</v>
      </c>
      <c r="I35" s="345">
        <v>0</v>
      </c>
      <c r="J35" s="347">
        <f t="shared" si="0"/>
        <v>9054116</v>
      </c>
      <c r="K35" s="530"/>
    </row>
    <row r="36" spans="1:11">
      <c r="A36" s="337">
        <v>33</v>
      </c>
      <c r="B36" s="338">
        <v>2</v>
      </c>
      <c r="C36" s="338">
        <v>2</v>
      </c>
      <c r="D36" s="343">
        <v>1107</v>
      </c>
      <c r="E36" s="343">
        <v>2545601947</v>
      </c>
      <c r="F36" s="348" t="s">
        <v>748</v>
      </c>
      <c r="G36" s="345">
        <v>8925219</v>
      </c>
      <c r="H36" s="346">
        <v>128897</v>
      </c>
      <c r="I36" s="345">
        <v>0</v>
      </c>
      <c r="J36" s="347">
        <f t="shared" si="0"/>
        <v>9054116</v>
      </c>
      <c r="K36" s="530"/>
    </row>
    <row r="37" spans="1:11">
      <c r="A37" s="337">
        <v>34</v>
      </c>
      <c r="B37" s="338">
        <v>2</v>
      </c>
      <c r="C37" s="338">
        <v>2</v>
      </c>
      <c r="D37" s="343">
        <v>1107</v>
      </c>
      <c r="E37" s="343">
        <v>2545601948</v>
      </c>
      <c r="F37" s="348" t="s">
        <v>748</v>
      </c>
      <c r="G37" s="345">
        <v>8925219</v>
      </c>
      <c r="H37" s="346">
        <v>128897</v>
      </c>
      <c r="I37" s="345">
        <v>0</v>
      </c>
      <c r="J37" s="347">
        <f t="shared" si="0"/>
        <v>9054116</v>
      </c>
      <c r="K37" s="530"/>
    </row>
    <row r="38" spans="1:11">
      <c r="A38" s="337">
        <v>35</v>
      </c>
      <c r="B38" s="338">
        <v>2</v>
      </c>
      <c r="C38" s="338">
        <v>2</v>
      </c>
      <c r="D38" s="343">
        <v>1107</v>
      </c>
      <c r="E38" s="343">
        <v>2545601949</v>
      </c>
      <c r="F38" s="348" t="s">
        <v>748</v>
      </c>
      <c r="G38" s="345">
        <v>8925219</v>
      </c>
      <c r="H38" s="346">
        <v>128898</v>
      </c>
      <c r="I38" s="345">
        <v>0</v>
      </c>
      <c r="J38" s="347">
        <f t="shared" si="0"/>
        <v>9054117</v>
      </c>
      <c r="K38" s="530"/>
    </row>
    <row r="39" spans="1:11">
      <c r="A39" s="337">
        <v>36</v>
      </c>
      <c r="B39" s="338">
        <v>2</v>
      </c>
      <c r="C39" s="338">
        <v>2</v>
      </c>
      <c r="D39" s="343">
        <v>1107</v>
      </c>
      <c r="E39" s="343">
        <v>2545601950</v>
      </c>
      <c r="F39" s="348" t="s">
        <v>748</v>
      </c>
      <c r="G39" s="345">
        <v>8925219</v>
      </c>
      <c r="H39" s="346">
        <v>128898</v>
      </c>
      <c r="I39" s="345">
        <v>0</v>
      </c>
      <c r="J39" s="347">
        <f t="shared" si="0"/>
        <v>9054117</v>
      </c>
      <c r="K39" s="530"/>
    </row>
    <row r="40" spans="1:11">
      <c r="A40" s="337">
        <v>37</v>
      </c>
      <c r="B40" s="338">
        <v>2</v>
      </c>
      <c r="C40" s="338">
        <v>2</v>
      </c>
      <c r="D40" s="343">
        <v>1107</v>
      </c>
      <c r="E40" s="343">
        <v>2545601951</v>
      </c>
      <c r="F40" s="348" t="s">
        <v>748</v>
      </c>
      <c r="G40" s="345">
        <v>8925219</v>
      </c>
      <c r="H40" s="346">
        <v>128898</v>
      </c>
      <c r="I40" s="345">
        <v>0</v>
      </c>
      <c r="J40" s="347">
        <f t="shared" si="0"/>
        <v>9054117</v>
      </c>
      <c r="K40" s="530"/>
    </row>
    <row r="41" spans="1:11">
      <c r="A41" s="337">
        <v>38</v>
      </c>
      <c r="B41" s="338">
        <v>2</v>
      </c>
      <c r="C41" s="338">
        <v>2</v>
      </c>
      <c r="D41" s="343">
        <v>1107</v>
      </c>
      <c r="E41" s="343">
        <v>2545601952</v>
      </c>
      <c r="F41" s="348" t="s">
        <v>748</v>
      </c>
      <c r="G41" s="345">
        <v>8925220</v>
      </c>
      <c r="H41" s="346">
        <v>128898</v>
      </c>
      <c r="I41" s="345">
        <v>0</v>
      </c>
      <c r="J41" s="347">
        <f t="shared" si="0"/>
        <v>9054118</v>
      </c>
      <c r="K41" s="530"/>
    </row>
    <row r="42" spans="1:11">
      <c r="A42" s="337">
        <v>39</v>
      </c>
      <c r="B42" s="338">
        <v>2</v>
      </c>
      <c r="C42" s="338">
        <v>2</v>
      </c>
      <c r="D42" s="343">
        <v>1107</v>
      </c>
      <c r="E42" s="343">
        <v>2545601953</v>
      </c>
      <c r="F42" s="348" t="s">
        <v>748</v>
      </c>
      <c r="G42" s="345">
        <v>8925220</v>
      </c>
      <c r="H42" s="346">
        <v>128898</v>
      </c>
      <c r="I42" s="345">
        <v>0</v>
      </c>
      <c r="J42" s="347">
        <f t="shared" si="0"/>
        <v>9054118</v>
      </c>
      <c r="K42" s="530"/>
    </row>
    <row r="43" spans="1:11">
      <c r="A43" s="337">
        <v>40</v>
      </c>
      <c r="B43" s="338">
        <v>2</v>
      </c>
      <c r="C43" s="338">
        <v>2</v>
      </c>
      <c r="D43" s="343">
        <v>1107</v>
      </c>
      <c r="E43" s="343">
        <v>2545601954</v>
      </c>
      <c r="F43" s="348" t="s">
        <v>748</v>
      </c>
      <c r="G43" s="345">
        <v>8925220</v>
      </c>
      <c r="H43" s="346">
        <v>128898</v>
      </c>
      <c r="I43" s="345">
        <v>0</v>
      </c>
      <c r="J43" s="347">
        <f t="shared" si="0"/>
        <v>9054118</v>
      </c>
      <c r="K43" s="531"/>
    </row>
    <row r="44" spans="1:11">
      <c r="A44" s="337">
        <v>41</v>
      </c>
      <c r="B44" s="338">
        <v>2</v>
      </c>
      <c r="C44" s="338">
        <v>2</v>
      </c>
      <c r="D44" s="348">
        <v>1115</v>
      </c>
      <c r="E44" s="343">
        <v>7520700107</v>
      </c>
      <c r="F44" s="348" t="s">
        <v>750</v>
      </c>
      <c r="G44" s="345">
        <v>75400</v>
      </c>
      <c r="H44" s="346">
        <v>12780</v>
      </c>
      <c r="I44" s="345">
        <v>0</v>
      </c>
      <c r="J44" s="347">
        <f t="shared" si="0"/>
        <v>88180</v>
      </c>
      <c r="K44" s="342" t="s">
        <v>727</v>
      </c>
    </row>
    <row r="46" spans="1:11">
      <c r="F46" s="332" t="s">
        <v>589</v>
      </c>
      <c r="J46" s="349">
        <f>SUM(J4:J44)</f>
        <v>160607938</v>
      </c>
    </row>
    <row r="47" spans="1:11">
      <c r="F47" s="351" t="s">
        <v>751</v>
      </c>
      <c r="J47" s="332">
        <v>31896744</v>
      </c>
    </row>
    <row r="48" spans="1:11">
      <c r="F48" s="332" t="s">
        <v>752</v>
      </c>
      <c r="J48" s="352">
        <f>SUM(J31:J43,J27,J4)</f>
        <v>128711194</v>
      </c>
    </row>
  </sheetData>
  <mergeCells count="3">
    <mergeCell ref="A1:K1"/>
    <mergeCell ref="A2:K2"/>
    <mergeCell ref="K32:K43"/>
  </mergeCells>
  <printOptions horizontalCentered="1"/>
  <pageMargins left="0.11811023622047245" right="0.11811023622047245" top="0.15748031496062992" bottom="0.15748031496062992" header="0" footer="0"/>
  <pageSetup paperSize="9" scale="78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63"/>
  <sheetViews>
    <sheetView topLeftCell="F1" workbookViewId="0">
      <pane ySplit="2" topLeftCell="A46" activePane="bottomLeft" state="frozen"/>
      <selection sqref="A1:K1"/>
      <selection pane="bottomLeft" sqref="A1:N59"/>
    </sheetView>
  </sheetViews>
  <sheetFormatPr defaultRowHeight="15"/>
  <cols>
    <col min="1" max="1" width="6.6640625" style="192" bestFit="1" customWidth="1"/>
    <col min="2" max="2" width="5" style="192" hidden="1" customWidth="1"/>
    <col min="3" max="3" width="9.83203125" style="192" hidden="1" customWidth="1"/>
    <col min="4" max="4" width="7" style="192" hidden="1" customWidth="1"/>
    <col min="5" max="5" width="9" style="192" hidden="1" customWidth="1"/>
    <col min="6" max="6" width="12.83203125" style="192" bestFit="1" customWidth="1"/>
    <col min="7" max="7" width="70.1640625" style="192" customWidth="1"/>
    <col min="8" max="8" width="6" style="192" hidden="1" customWidth="1"/>
    <col min="9" max="9" width="14.1640625" style="192" hidden="1" customWidth="1"/>
    <col min="10" max="10" width="17" style="192" customWidth="1"/>
    <col min="11" max="11" width="14.83203125" style="192" customWidth="1"/>
    <col min="12" max="12" width="16.5" style="192" customWidth="1"/>
    <col min="13" max="13" width="15" style="192" customWidth="1"/>
    <col min="14" max="14" width="19.33203125" style="192" bestFit="1" customWidth="1"/>
    <col min="15" max="15" width="13.5" style="192" bestFit="1" customWidth="1"/>
    <col min="16" max="16384" width="9.33203125" style="192"/>
  </cols>
  <sheetData>
    <row r="1" spans="1:14" ht="18.75">
      <c r="A1" s="532" t="s">
        <v>753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4" ht="38.25">
      <c r="A2" s="353" t="s">
        <v>715</v>
      </c>
      <c r="B2" s="354" t="s">
        <v>195</v>
      </c>
      <c r="C2" s="354" t="s">
        <v>716</v>
      </c>
      <c r="D2" s="355" t="s">
        <v>754</v>
      </c>
      <c r="E2" s="354" t="s">
        <v>717</v>
      </c>
      <c r="F2" s="354" t="s">
        <v>718</v>
      </c>
      <c r="G2" s="354" t="s">
        <v>719</v>
      </c>
      <c r="H2" s="355" t="s">
        <v>755</v>
      </c>
      <c r="I2" s="356" t="s">
        <v>756</v>
      </c>
      <c r="J2" s="357" t="s">
        <v>757</v>
      </c>
      <c r="K2" s="357" t="s">
        <v>721</v>
      </c>
      <c r="L2" s="357" t="s">
        <v>722</v>
      </c>
      <c r="M2" s="357" t="s">
        <v>723</v>
      </c>
      <c r="N2" s="358" t="s">
        <v>51</v>
      </c>
    </row>
    <row r="3" spans="1:14">
      <c r="A3" s="359">
        <v>1</v>
      </c>
      <c r="B3" s="360">
        <v>2</v>
      </c>
      <c r="C3" s="360">
        <v>2</v>
      </c>
      <c r="D3" s="360">
        <v>53</v>
      </c>
      <c r="E3" s="360">
        <v>1107</v>
      </c>
      <c r="F3" s="360">
        <v>2540460781</v>
      </c>
      <c r="G3" s="361" t="s">
        <v>758</v>
      </c>
      <c r="H3" s="360" t="s">
        <v>759</v>
      </c>
      <c r="I3" s="362">
        <v>40330</v>
      </c>
      <c r="J3" s="363">
        <v>220320</v>
      </c>
      <c r="K3" s="363"/>
      <c r="L3" s="363"/>
      <c r="M3" s="364">
        <f t="shared" ref="M3:M58" si="0">J3+K3-L3</f>
        <v>220320</v>
      </c>
      <c r="N3" s="365" t="s">
        <v>725</v>
      </c>
    </row>
    <row r="4" spans="1:14">
      <c r="A4" s="359">
        <v>2</v>
      </c>
      <c r="B4" s="360">
        <v>2</v>
      </c>
      <c r="C4" s="360">
        <v>2</v>
      </c>
      <c r="D4" s="360">
        <v>53</v>
      </c>
      <c r="E4" s="360">
        <v>1107</v>
      </c>
      <c r="F4" s="360">
        <v>2540460784</v>
      </c>
      <c r="G4" s="360" t="s">
        <v>760</v>
      </c>
      <c r="H4" s="360" t="s">
        <v>759</v>
      </c>
      <c r="I4" s="362">
        <v>40248</v>
      </c>
      <c r="J4" s="363">
        <v>2410870</v>
      </c>
      <c r="K4" s="363"/>
      <c r="L4" s="363"/>
      <c r="M4" s="364">
        <f t="shared" si="0"/>
        <v>2410870</v>
      </c>
      <c r="N4" s="337" t="s">
        <v>727</v>
      </c>
    </row>
    <row r="5" spans="1:14">
      <c r="A5" s="359">
        <v>3</v>
      </c>
      <c r="B5" s="360">
        <v>2</v>
      </c>
      <c r="C5" s="360">
        <v>2</v>
      </c>
      <c r="D5" s="360">
        <v>53</v>
      </c>
      <c r="E5" s="360">
        <v>1107</v>
      </c>
      <c r="F5" s="360">
        <v>2540460785</v>
      </c>
      <c r="G5" s="360" t="s">
        <v>761</v>
      </c>
      <c r="H5" s="360" t="s">
        <v>759</v>
      </c>
      <c r="I5" s="366" t="s">
        <v>762</v>
      </c>
      <c r="J5" s="363">
        <v>4084317</v>
      </c>
      <c r="K5" s="363"/>
      <c r="L5" s="363"/>
      <c r="M5" s="364">
        <f t="shared" si="0"/>
        <v>4084317</v>
      </c>
      <c r="N5" s="337" t="s">
        <v>727</v>
      </c>
    </row>
    <row r="6" spans="1:14">
      <c r="A6" s="359">
        <v>4</v>
      </c>
      <c r="B6" s="360">
        <v>2</v>
      </c>
      <c r="C6" s="360">
        <v>2</v>
      </c>
      <c r="D6" s="360">
        <v>53</v>
      </c>
      <c r="E6" s="360">
        <v>1107</v>
      </c>
      <c r="F6" s="360">
        <v>2545481189</v>
      </c>
      <c r="G6" s="361" t="s">
        <v>763</v>
      </c>
      <c r="H6" s="360" t="s">
        <v>759</v>
      </c>
      <c r="I6" s="362">
        <v>40394</v>
      </c>
      <c r="J6" s="363">
        <v>406571.89</v>
      </c>
      <c r="K6" s="363"/>
      <c r="L6" s="363"/>
      <c r="M6" s="364">
        <f t="shared" si="0"/>
        <v>406571.89</v>
      </c>
      <c r="N6" s="337" t="s">
        <v>727</v>
      </c>
    </row>
    <row r="7" spans="1:14">
      <c r="A7" s="359">
        <v>5</v>
      </c>
      <c r="B7" s="360">
        <v>2</v>
      </c>
      <c r="C7" s="360">
        <v>2</v>
      </c>
      <c r="D7" s="360">
        <v>53</v>
      </c>
      <c r="E7" s="360">
        <v>1107</v>
      </c>
      <c r="F7" s="360">
        <v>2545481190</v>
      </c>
      <c r="G7" s="361" t="s">
        <v>764</v>
      </c>
      <c r="H7" s="360" t="s">
        <v>759</v>
      </c>
      <c r="I7" s="362">
        <v>40516</v>
      </c>
      <c r="J7" s="363">
        <v>406571.89</v>
      </c>
      <c r="K7" s="363"/>
      <c r="L7" s="363"/>
      <c r="M7" s="364">
        <f t="shared" si="0"/>
        <v>406571.89</v>
      </c>
      <c r="N7" s="337" t="s">
        <v>727</v>
      </c>
    </row>
    <row r="8" spans="1:14">
      <c r="A8" s="359">
        <v>6</v>
      </c>
      <c r="B8" s="360">
        <v>2</v>
      </c>
      <c r="C8" s="360">
        <v>2</v>
      </c>
      <c r="D8" s="360">
        <v>53</v>
      </c>
      <c r="E8" s="360">
        <v>1107</v>
      </c>
      <c r="F8" s="360">
        <v>2545481191</v>
      </c>
      <c r="G8" s="361" t="s">
        <v>765</v>
      </c>
      <c r="H8" s="360" t="s">
        <v>759</v>
      </c>
      <c r="I8" s="366" t="s">
        <v>766</v>
      </c>
      <c r="J8" s="363">
        <v>406571.89</v>
      </c>
      <c r="K8" s="363"/>
      <c r="L8" s="363"/>
      <c r="M8" s="364">
        <f t="shared" si="0"/>
        <v>406571.89</v>
      </c>
      <c r="N8" s="337" t="s">
        <v>727</v>
      </c>
    </row>
    <row r="9" spans="1:14">
      <c r="A9" s="359">
        <v>7</v>
      </c>
      <c r="B9" s="360">
        <v>2</v>
      </c>
      <c r="C9" s="360">
        <v>2</v>
      </c>
      <c r="D9" s="360">
        <v>53</v>
      </c>
      <c r="E9" s="360">
        <v>1107</v>
      </c>
      <c r="F9" s="360">
        <v>2545481192</v>
      </c>
      <c r="G9" s="361" t="s">
        <v>765</v>
      </c>
      <c r="H9" s="360" t="s">
        <v>759</v>
      </c>
      <c r="I9" s="366" t="s">
        <v>767</v>
      </c>
      <c r="J9" s="363">
        <v>406571.89</v>
      </c>
      <c r="K9" s="363"/>
      <c r="L9" s="363"/>
      <c r="M9" s="364">
        <f t="shared" si="0"/>
        <v>406571.89</v>
      </c>
      <c r="N9" s="337" t="s">
        <v>727</v>
      </c>
    </row>
    <row r="10" spans="1:14">
      <c r="A10" s="359">
        <v>8</v>
      </c>
      <c r="B10" s="360">
        <v>2</v>
      </c>
      <c r="C10" s="360">
        <v>2</v>
      </c>
      <c r="D10" s="360">
        <v>53</v>
      </c>
      <c r="E10" s="360">
        <v>1107</v>
      </c>
      <c r="F10" s="360">
        <v>2545481193</v>
      </c>
      <c r="G10" s="361" t="s">
        <v>765</v>
      </c>
      <c r="H10" s="360" t="s">
        <v>759</v>
      </c>
      <c r="I10" s="362">
        <v>40364</v>
      </c>
      <c r="J10" s="363">
        <v>406571.89</v>
      </c>
      <c r="K10" s="363"/>
      <c r="L10" s="363"/>
      <c r="M10" s="364">
        <f t="shared" si="0"/>
        <v>406571.89</v>
      </c>
      <c r="N10" s="337" t="s">
        <v>727</v>
      </c>
    </row>
    <row r="11" spans="1:14">
      <c r="A11" s="359">
        <v>9</v>
      </c>
      <c r="B11" s="360">
        <v>2</v>
      </c>
      <c r="C11" s="360">
        <v>2</v>
      </c>
      <c r="D11" s="360">
        <v>53</v>
      </c>
      <c r="E11" s="360">
        <v>1107</v>
      </c>
      <c r="F11" s="360">
        <v>2545481194</v>
      </c>
      <c r="G11" s="361" t="s">
        <v>765</v>
      </c>
      <c r="H11" s="360" t="s">
        <v>759</v>
      </c>
      <c r="I11" s="362">
        <v>40487</v>
      </c>
      <c r="J11" s="363">
        <v>406571.89</v>
      </c>
      <c r="K11" s="363"/>
      <c r="L11" s="363"/>
      <c r="M11" s="364">
        <f t="shared" si="0"/>
        <v>406571.89</v>
      </c>
      <c r="N11" s="337" t="s">
        <v>727</v>
      </c>
    </row>
    <row r="12" spans="1:14">
      <c r="A12" s="359">
        <v>10</v>
      </c>
      <c r="B12" s="360">
        <v>2</v>
      </c>
      <c r="C12" s="360">
        <v>2</v>
      </c>
      <c r="D12" s="360">
        <v>53</v>
      </c>
      <c r="E12" s="360">
        <v>1107</v>
      </c>
      <c r="F12" s="360">
        <v>2545481195</v>
      </c>
      <c r="G12" s="361" t="s">
        <v>765</v>
      </c>
      <c r="H12" s="360" t="s">
        <v>759</v>
      </c>
      <c r="I12" s="366" t="s">
        <v>768</v>
      </c>
      <c r="J12" s="363">
        <v>406571.89</v>
      </c>
      <c r="K12" s="363"/>
      <c r="L12" s="363"/>
      <c r="M12" s="364">
        <f t="shared" si="0"/>
        <v>406571.89</v>
      </c>
      <c r="N12" s="337" t="s">
        <v>727</v>
      </c>
    </row>
    <row r="13" spans="1:14">
      <c r="A13" s="359">
        <v>11</v>
      </c>
      <c r="B13" s="360">
        <v>2</v>
      </c>
      <c r="C13" s="360">
        <v>2</v>
      </c>
      <c r="D13" s="360">
        <v>53</v>
      </c>
      <c r="E13" s="360">
        <v>1107</v>
      </c>
      <c r="F13" s="360">
        <v>2545481196</v>
      </c>
      <c r="G13" s="361" t="s">
        <v>765</v>
      </c>
      <c r="H13" s="360" t="s">
        <v>759</v>
      </c>
      <c r="I13" s="366" t="s">
        <v>769</v>
      </c>
      <c r="J13" s="363">
        <v>406571.89</v>
      </c>
      <c r="K13" s="363"/>
      <c r="L13" s="363"/>
      <c r="M13" s="364">
        <f t="shared" si="0"/>
        <v>406571.89</v>
      </c>
      <c r="N13" s="337" t="s">
        <v>727</v>
      </c>
    </row>
    <row r="14" spans="1:14">
      <c r="A14" s="359">
        <v>12</v>
      </c>
      <c r="B14" s="360">
        <v>2</v>
      </c>
      <c r="C14" s="360">
        <v>2</v>
      </c>
      <c r="D14" s="360">
        <v>53</v>
      </c>
      <c r="E14" s="360">
        <v>1107</v>
      </c>
      <c r="F14" s="360">
        <v>2545481197</v>
      </c>
      <c r="G14" s="361" t="s">
        <v>765</v>
      </c>
      <c r="H14" s="360" t="s">
        <v>759</v>
      </c>
      <c r="I14" s="366" t="s">
        <v>770</v>
      </c>
      <c r="J14" s="363">
        <v>406571.88</v>
      </c>
      <c r="K14" s="363"/>
      <c r="L14" s="363"/>
      <c r="M14" s="364">
        <f t="shared" si="0"/>
        <v>406571.88</v>
      </c>
      <c r="N14" s="337" t="s">
        <v>727</v>
      </c>
    </row>
    <row r="15" spans="1:14">
      <c r="A15" s="359">
        <v>13</v>
      </c>
      <c r="B15" s="360">
        <v>2</v>
      </c>
      <c r="C15" s="360">
        <v>2</v>
      </c>
      <c r="D15" s="360">
        <v>53</v>
      </c>
      <c r="E15" s="360">
        <v>1107</v>
      </c>
      <c r="F15" s="360">
        <v>2545481198</v>
      </c>
      <c r="G15" s="360" t="s">
        <v>771</v>
      </c>
      <c r="H15" s="360" t="s">
        <v>759</v>
      </c>
      <c r="I15" s="366" t="s">
        <v>772</v>
      </c>
      <c r="J15" s="363">
        <v>584368</v>
      </c>
      <c r="K15" s="363"/>
      <c r="L15" s="363"/>
      <c r="M15" s="364">
        <f t="shared" si="0"/>
        <v>584368</v>
      </c>
      <c r="N15" s="337" t="s">
        <v>727</v>
      </c>
    </row>
    <row r="16" spans="1:14">
      <c r="A16" s="359">
        <v>14</v>
      </c>
      <c r="B16" s="360">
        <v>2</v>
      </c>
      <c r="C16" s="360">
        <v>2</v>
      </c>
      <c r="D16" s="360">
        <v>53</v>
      </c>
      <c r="E16" s="360">
        <v>1107</v>
      </c>
      <c r="F16" s="360">
        <v>2545481199</v>
      </c>
      <c r="G16" s="361" t="s">
        <v>773</v>
      </c>
      <c r="H16" s="360" t="s">
        <v>759</v>
      </c>
      <c r="I16" s="366" t="s">
        <v>774</v>
      </c>
      <c r="J16" s="363">
        <v>584368</v>
      </c>
      <c r="K16" s="363"/>
      <c r="L16" s="363"/>
      <c r="M16" s="364">
        <f t="shared" si="0"/>
        <v>584368</v>
      </c>
      <c r="N16" s="337" t="s">
        <v>727</v>
      </c>
    </row>
    <row r="17" spans="1:15">
      <c r="A17" s="359">
        <v>15</v>
      </c>
      <c r="B17" s="360">
        <v>2</v>
      </c>
      <c r="C17" s="360">
        <v>2</v>
      </c>
      <c r="D17" s="360">
        <v>53</v>
      </c>
      <c r="E17" s="360">
        <v>1107</v>
      </c>
      <c r="F17" s="360">
        <v>2545481200</v>
      </c>
      <c r="G17" s="361" t="s">
        <v>773</v>
      </c>
      <c r="H17" s="360" t="s">
        <v>759</v>
      </c>
      <c r="I17" s="366" t="s">
        <v>775</v>
      </c>
      <c r="J17" s="363">
        <v>584368</v>
      </c>
      <c r="K17" s="363"/>
      <c r="L17" s="363"/>
      <c r="M17" s="364">
        <f t="shared" si="0"/>
        <v>584368</v>
      </c>
      <c r="N17" s="337" t="s">
        <v>727</v>
      </c>
    </row>
    <row r="18" spans="1:15">
      <c r="A18" s="359">
        <v>16</v>
      </c>
      <c r="B18" s="360">
        <v>2</v>
      </c>
      <c r="C18" s="360">
        <v>2</v>
      </c>
      <c r="D18" s="360">
        <v>53</v>
      </c>
      <c r="E18" s="360">
        <v>1107</v>
      </c>
      <c r="F18" s="360">
        <v>2545481201</v>
      </c>
      <c r="G18" s="361" t="s">
        <v>773</v>
      </c>
      <c r="H18" s="360" t="s">
        <v>759</v>
      </c>
      <c r="I18" s="366" t="s">
        <v>776</v>
      </c>
      <c r="J18" s="363">
        <v>584368</v>
      </c>
      <c r="K18" s="363"/>
      <c r="L18" s="363"/>
      <c r="M18" s="364">
        <f t="shared" si="0"/>
        <v>584368</v>
      </c>
      <c r="N18" s="337" t="s">
        <v>727</v>
      </c>
    </row>
    <row r="19" spans="1:15">
      <c r="A19" s="359">
        <v>17</v>
      </c>
      <c r="B19" s="360">
        <v>2</v>
      </c>
      <c r="C19" s="360">
        <v>2</v>
      </c>
      <c r="D19" s="360">
        <v>53</v>
      </c>
      <c r="E19" s="360">
        <v>1107</v>
      </c>
      <c r="F19" s="360">
        <v>2545481202</v>
      </c>
      <c r="G19" s="361" t="s">
        <v>777</v>
      </c>
      <c r="H19" s="360" t="s">
        <v>759</v>
      </c>
      <c r="I19" s="366" t="s">
        <v>778</v>
      </c>
      <c r="J19" s="363">
        <v>584368</v>
      </c>
      <c r="K19" s="363"/>
      <c r="L19" s="363"/>
      <c r="M19" s="364">
        <f t="shared" si="0"/>
        <v>584368</v>
      </c>
      <c r="N19" s="337" t="s">
        <v>727</v>
      </c>
    </row>
    <row r="20" spans="1:15">
      <c r="A20" s="359">
        <v>18</v>
      </c>
      <c r="B20" s="360">
        <v>2</v>
      </c>
      <c r="C20" s="360">
        <v>2</v>
      </c>
      <c r="D20" s="360">
        <v>53</v>
      </c>
      <c r="E20" s="360">
        <v>1107</v>
      </c>
      <c r="F20" s="360">
        <v>2545481203</v>
      </c>
      <c r="G20" s="361" t="s">
        <v>777</v>
      </c>
      <c r="H20" s="360" t="s">
        <v>759</v>
      </c>
      <c r="I20" s="366" t="s">
        <v>779</v>
      </c>
      <c r="J20" s="363">
        <v>584368</v>
      </c>
      <c r="K20" s="363"/>
      <c r="L20" s="363"/>
      <c r="M20" s="364">
        <f t="shared" si="0"/>
        <v>584368</v>
      </c>
      <c r="N20" s="337" t="s">
        <v>727</v>
      </c>
    </row>
    <row r="21" spans="1:15">
      <c r="A21" s="359">
        <v>19</v>
      </c>
      <c r="B21" s="360">
        <v>2</v>
      </c>
      <c r="C21" s="360">
        <v>2</v>
      </c>
      <c r="D21" s="360">
        <v>53</v>
      </c>
      <c r="E21" s="360">
        <v>1107</v>
      </c>
      <c r="F21" s="360">
        <v>2545481204</v>
      </c>
      <c r="G21" s="361" t="s">
        <v>780</v>
      </c>
      <c r="H21" s="360" t="s">
        <v>759</v>
      </c>
      <c r="I21" s="366" t="s">
        <v>781</v>
      </c>
      <c r="J21" s="363">
        <v>584368</v>
      </c>
      <c r="K21" s="363"/>
      <c r="L21" s="363"/>
      <c r="M21" s="364">
        <f t="shared" si="0"/>
        <v>584368</v>
      </c>
      <c r="N21" s="337" t="s">
        <v>727</v>
      </c>
    </row>
    <row r="22" spans="1:15">
      <c r="A22" s="359">
        <v>20</v>
      </c>
      <c r="B22" s="360">
        <v>2</v>
      </c>
      <c r="C22" s="360">
        <v>2</v>
      </c>
      <c r="D22" s="360">
        <v>53</v>
      </c>
      <c r="E22" s="360">
        <v>1107</v>
      </c>
      <c r="F22" s="360">
        <v>2545481205</v>
      </c>
      <c r="G22" s="361" t="s">
        <v>780</v>
      </c>
      <c r="H22" s="360" t="s">
        <v>759</v>
      </c>
      <c r="I22" s="366" t="s">
        <v>782</v>
      </c>
      <c r="J22" s="363">
        <v>584368</v>
      </c>
      <c r="K22" s="363"/>
      <c r="L22" s="363"/>
      <c r="M22" s="364">
        <f t="shared" si="0"/>
        <v>584368</v>
      </c>
      <c r="N22" s="337" t="s">
        <v>727</v>
      </c>
    </row>
    <row r="23" spans="1:15">
      <c r="A23" s="359">
        <v>21</v>
      </c>
      <c r="B23" s="360">
        <v>2</v>
      </c>
      <c r="C23" s="360">
        <v>2</v>
      </c>
      <c r="D23" s="360">
        <v>53</v>
      </c>
      <c r="E23" s="360">
        <v>1107</v>
      </c>
      <c r="F23" s="360">
        <v>2545481206</v>
      </c>
      <c r="G23" s="361" t="s">
        <v>780</v>
      </c>
      <c r="H23" s="360" t="s">
        <v>759</v>
      </c>
      <c r="I23" s="366" t="s">
        <v>783</v>
      </c>
      <c r="J23" s="363">
        <v>584368</v>
      </c>
      <c r="K23" s="363"/>
      <c r="L23" s="363"/>
      <c r="M23" s="364">
        <f t="shared" si="0"/>
        <v>584368</v>
      </c>
      <c r="N23" s="337" t="s">
        <v>727</v>
      </c>
    </row>
    <row r="24" spans="1:15">
      <c r="A24" s="359">
        <v>22</v>
      </c>
      <c r="B24" s="360">
        <v>2</v>
      </c>
      <c r="C24" s="360">
        <v>2</v>
      </c>
      <c r="D24" s="360">
        <v>53</v>
      </c>
      <c r="E24" s="360">
        <v>1107</v>
      </c>
      <c r="F24" s="360">
        <v>2545481207</v>
      </c>
      <c r="G24" s="361" t="s">
        <v>780</v>
      </c>
      <c r="H24" s="360" t="s">
        <v>759</v>
      </c>
      <c r="I24" s="366" t="s">
        <v>784</v>
      </c>
      <c r="J24" s="363">
        <v>584368</v>
      </c>
      <c r="K24" s="363"/>
      <c r="L24" s="363"/>
      <c r="M24" s="364">
        <f t="shared" si="0"/>
        <v>584368</v>
      </c>
      <c r="N24" s="337" t="s">
        <v>727</v>
      </c>
    </row>
    <row r="25" spans="1:15">
      <c r="A25" s="359">
        <v>23</v>
      </c>
      <c r="B25" s="360">
        <v>2</v>
      </c>
      <c r="C25" s="360">
        <v>2</v>
      </c>
      <c r="D25" s="360">
        <v>53</v>
      </c>
      <c r="E25" s="360">
        <v>1107</v>
      </c>
      <c r="F25" s="360">
        <v>2545481208</v>
      </c>
      <c r="G25" s="361" t="s">
        <v>780</v>
      </c>
      <c r="H25" s="360" t="s">
        <v>759</v>
      </c>
      <c r="I25" s="362">
        <v>40218</v>
      </c>
      <c r="J25" s="363">
        <v>584368</v>
      </c>
      <c r="K25" s="363"/>
      <c r="L25" s="363"/>
      <c r="M25" s="364">
        <f t="shared" si="0"/>
        <v>584368</v>
      </c>
      <c r="N25" s="337" t="s">
        <v>727</v>
      </c>
    </row>
    <row r="26" spans="1:15">
      <c r="A26" s="359">
        <v>24</v>
      </c>
      <c r="B26" s="360">
        <v>2</v>
      </c>
      <c r="C26" s="360">
        <v>2</v>
      </c>
      <c r="D26" s="360">
        <v>53</v>
      </c>
      <c r="E26" s="360">
        <v>1107</v>
      </c>
      <c r="F26" s="360">
        <v>2545481209</v>
      </c>
      <c r="G26" s="361" t="s">
        <v>780</v>
      </c>
      <c r="H26" s="360" t="s">
        <v>759</v>
      </c>
      <c r="I26" s="362">
        <v>40277</v>
      </c>
      <c r="J26" s="363">
        <v>584368</v>
      </c>
      <c r="K26" s="363"/>
      <c r="L26" s="363"/>
      <c r="M26" s="364">
        <f t="shared" si="0"/>
        <v>584368</v>
      </c>
      <c r="N26" s="337" t="s">
        <v>727</v>
      </c>
    </row>
    <row r="27" spans="1:15">
      <c r="A27" s="359">
        <v>25</v>
      </c>
      <c r="B27" s="360">
        <v>2</v>
      </c>
      <c r="C27" s="360">
        <v>2</v>
      </c>
      <c r="D27" s="360">
        <v>53</v>
      </c>
      <c r="E27" s="360">
        <v>1107</v>
      </c>
      <c r="F27" s="360">
        <v>2545481210</v>
      </c>
      <c r="G27" s="361" t="s">
        <v>780</v>
      </c>
      <c r="H27" s="360" t="s">
        <v>759</v>
      </c>
      <c r="I27" s="362">
        <v>40368</v>
      </c>
      <c r="J27" s="363">
        <v>584368</v>
      </c>
      <c r="K27" s="363"/>
      <c r="L27" s="363"/>
      <c r="M27" s="364">
        <f t="shared" si="0"/>
        <v>584368</v>
      </c>
      <c r="N27" s="337" t="s">
        <v>727</v>
      </c>
    </row>
    <row r="28" spans="1:15">
      <c r="A28" s="359">
        <v>26</v>
      </c>
      <c r="B28" s="360">
        <v>2</v>
      </c>
      <c r="C28" s="360">
        <v>2</v>
      </c>
      <c r="D28" s="360">
        <v>53</v>
      </c>
      <c r="E28" s="360">
        <v>1107</v>
      </c>
      <c r="F28" s="360">
        <v>2545481211</v>
      </c>
      <c r="G28" s="361" t="s">
        <v>780</v>
      </c>
      <c r="H28" s="360" t="s">
        <v>759</v>
      </c>
      <c r="I28" s="362">
        <v>40430</v>
      </c>
      <c r="J28" s="363">
        <v>584366</v>
      </c>
      <c r="K28" s="363"/>
      <c r="L28" s="363"/>
      <c r="M28" s="364">
        <f t="shared" si="0"/>
        <v>584366</v>
      </c>
      <c r="N28" s="337" t="s">
        <v>727</v>
      </c>
    </row>
    <row r="29" spans="1:15">
      <c r="A29" s="359">
        <v>27</v>
      </c>
      <c r="B29" s="360">
        <v>2</v>
      </c>
      <c r="C29" s="360">
        <v>2</v>
      </c>
      <c r="D29" s="360">
        <v>53</v>
      </c>
      <c r="E29" s="360">
        <v>1107</v>
      </c>
      <c r="F29" s="360">
        <v>2545602262</v>
      </c>
      <c r="G29" s="361" t="s">
        <v>785</v>
      </c>
      <c r="H29" s="360" t="s">
        <v>759</v>
      </c>
      <c r="I29" s="366" t="s">
        <v>772</v>
      </c>
      <c r="J29" s="363">
        <v>119000</v>
      </c>
      <c r="K29" s="363"/>
      <c r="L29" s="363"/>
      <c r="M29" s="364">
        <f t="shared" si="0"/>
        <v>119000</v>
      </c>
      <c r="N29" s="337" t="s">
        <v>727</v>
      </c>
      <c r="O29" s="367">
        <f>SUM(M4:M29)</f>
        <v>18454484</v>
      </c>
    </row>
    <row r="30" spans="1:15">
      <c r="A30" s="359">
        <v>28</v>
      </c>
      <c r="B30" s="360">
        <v>2</v>
      </c>
      <c r="C30" s="360">
        <v>2</v>
      </c>
      <c r="D30" s="360">
        <v>53</v>
      </c>
      <c r="E30" s="360">
        <v>1107</v>
      </c>
      <c r="F30" s="360">
        <v>2545602263</v>
      </c>
      <c r="G30" s="360" t="s">
        <v>786</v>
      </c>
      <c r="H30" s="360" t="s">
        <v>759</v>
      </c>
      <c r="I30" s="362">
        <v>40241</v>
      </c>
      <c r="J30" s="363">
        <v>624000</v>
      </c>
      <c r="K30" s="363"/>
      <c r="L30" s="363"/>
      <c r="M30" s="364">
        <f t="shared" si="0"/>
        <v>624000</v>
      </c>
      <c r="N30" s="365" t="s">
        <v>725</v>
      </c>
    </row>
    <row r="31" spans="1:15">
      <c r="A31" s="359">
        <v>29</v>
      </c>
      <c r="B31" s="360">
        <v>2</v>
      </c>
      <c r="C31" s="360">
        <v>2</v>
      </c>
      <c r="D31" s="360">
        <v>57</v>
      </c>
      <c r="E31" s="360">
        <v>1108</v>
      </c>
      <c r="F31" s="360">
        <v>7510056548</v>
      </c>
      <c r="G31" s="361" t="s">
        <v>787</v>
      </c>
      <c r="H31" s="360" t="s">
        <v>759</v>
      </c>
      <c r="I31" s="362">
        <v>40004</v>
      </c>
      <c r="J31" s="363">
        <v>59588</v>
      </c>
      <c r="K31" s="363"/>
      <c r="L31" s="363"/>
      <c r="M31" s="364">
        <f t="shared" si="0"/>
        <v>59588</v>
      </c>
      <c r="N31" s="337" t="s">
        <v>727</v>
      </c>
    </row>
    <row r="32" spans="1:15">
      <c r="A32" s="359">
        <v>30</v>
      </c>
      <c r="B32" s="360">
        <v>2</v>
      </c>
      <c r="C32" s="360">
        <v>2</v>
      </c>
      <c r="D32" s="360">
        <v>57</v>
      </c>
      <c r="E32" s="360">
        <v>1108</v>
      </c>
      <c r="F32" s="360">
        <v>7510056599</v>
      </c>
      <c r="G32" s="361" t="s">
        <v>788</v>
      </c>
      <c r="H32" s="360" t="s">
        <v>759</v>
      </c>
      <c r="I32" s="362">
        <v>40817</v>
      </c>
      <c r="J32" s="363">
        <v>10271</v>
      </c>
      <c r="K32" s="363"/>
      <c r="L32" s="363"/>
      <c r="M32" s="364">
        <f t="shared" si="0"/>
        <v>10271</v>
      </c>
      <c r="N32" s="337" t="s">
        <v>727</v>
      </c>
    </row>
    <row r="33" spans="1:15">
      <c r="A33" s="359">
        <v>31</v>
      </c>
      <c r="B33" s="360">
        <v>2</v>
      </c>
      <c r="C33" s="360">
        <v>2</v>
      </c>
      <c r="D33" s="360">
        <v>57</v>
      </c>
      <c r="E33" s="360">
        <v>1108</v>
      </c>
      <c r="F33" s="360">
        <v>7510056600</v>
      </c>
      <c r="G33" s="360" t="s">
        <v>789</v>
      </c>
      <c r="H33" s="360" t="s">
        <v>759</v>
      </c>
      <c r="I33" s="362">
        <v>40817</v>
      </c>
      <c r="J33" s="363">
        <v>7014</v>
      </c>
      <c r="K33" s="363"/>
      <c r="L33" s="363"/>
      <c r="M33" s="364">
        <f t="shared" si="0"/>
        <v>7014</v>
      </c>
      <c r="N33" s="337" t="s">
        <v>727</v>
      </c>
    </row>
    <row r="34" spans="1:15">
      <c r="A34" s="359">
        <v>32</v>
      </c>
      <c r="B34" s="360">
        <v>2</v>
      </c>
      <c r="C34" s="360">
        <v>2</v>
      </c>
      <c r="D34" s="360">
        <v>57</v>
      </c>
      <c r="E34" s="360">
        <v>1108</v>
      </c>
      <c r="F34" s="360">
        <v>7510056601</v>
      </c>
      <c r="G34" s="361" t="s">
        <v>790</v>
      </c>
      <c r="H34" s="360" t="s">
        <v>759</v>
      </c>
      <c r="I34" s="362">
        <v>40817</v>
      </c>
      <c r="J34" s="363">
        <v>10670</v>
      </c>
      <c r="K34" s="363"/>
      <c r="L34" s="363"/>
      <c r="M34" s="364">
        <f t="shared" si="0"/>
        <v>10670</v>
      </c>
      <c r="N34" s="337" t="s">
        <v>727</v>
      </c>
    </row>
    <row r="35" spans="1:15">
      <c r="A35" s="359">
        <v>33</v>
      </c>
      <c r="B35" s="360">
        <v>2</v>
      </c>
      <c r="C35" s="360">
        <v>2</v>
      </c>
      <c r="D35" s="360">
        <v>57</v>
      </c>
      <c r="E35" s="360">
        <v>1108</v>
      </c>
      <c r="F35" s="360">
        <v>7510056602</v>
      </c>
      <c r="G35" s="360" t="s">
        <v>791</v>
      </c>
      <c r="H35" s="360" t="s">
        <v>759</v>
      </c>
      <c r="I35" s="362">
        <v>40878</v>
      </c>
      <c r="J35" s="363">
        <v>7100</v>
      </c>
      <c r="K35" s="363"/>
      <c r="L35" s="363"/>
      <c r="M35" s="364">
        <f t="shared" si="0"/>
        <v>7100</v>
      </c>
      <c r="N35" s="337" t="s">
        <v>727</v>
      </c>
    </row>
    <row r="36" spans="1:15">
      <c r="A36" s="359">
        <v>34</v>
      </c>
      <c r="B36" s="360">
        <v>2</v>
      </c>
      <c r="C36" s="360">
        <v>2</v>
      </c>
      <c r="D36" s="360">
        <v>57</v>
      </c>
      <c r="E36" s="360">
        <v>1108</v>
      </c>
      <c r="F36" s="360">
        <v>7510056603</v>
      </c>
      <c r="G36" s="361" t="s">
        <v>792</v>
      </c>
      <c r="H36" s="360" t="s">
        <v>759</v>
      </c>
      <c r="I36" s="362">
        <v>40878</v>
      </c>
      <c r="J36" s="363">
        <v>197600</v>
      </c>
      <c r="K36" s="363"/>
      <c r="L36" s="363"/>
      <c r="M36" s="364">
        <f t="shared" si="0"/>
        <v>197600</v>
      </c>
      <c r="N36" s="337" t="s">
        <v>727</v>
      </c>
      <c r="O36" s="367">
        <f>SUM(M31:M36)</f>
        <v>292243</v>
      </c>
    </row>
    <row r="37" spans="1:15">
      <c r="A37" s="359">
        <v>35</v>
      </c>
      <c r="B37" s="360">
        <v>2</v>
      </c>
      <c r="C37" s="360">
        <v>2</v>
      </c>
      <c r="D37" s="360">
        <v>57</v>
      </c>
      <c r="E37" s="360">
        <v>1112</v>
      </c>
      <c r="F37" s="360">
        <v>8020950065</v>
      </c>
      <c r="G37" s="361" t="s">
        <v>793</v>
      </c>
      <c r="H37" s="360" t="s">
        <v>759</v>
      </c>
      <c r="I37" s="366" t="s">
        <v>794</v>
      </c>
      <c r="J37" s="363">
        <v>763773</v>
      </c>
      <c r="K37" s="363"/>
      <c r="L37" s="363">
        <v>77340</v>
      </c>
      <c r="M37" s="364">
        <f t="shared" si="0"/>
        <v>686433</v>
      </c>
      <c r="N37" s="365" t="s">
        <v>725</v>
      </c>
    </row>
    <row r="38" spans="1:15">
      <c r="A38" s="359">
        <v>36</v>
      </c>
      <c r="B38" s="360">
        <v>2</v>
      </c>
      <c r="C38" s="360">
        <v>2</v>
      </c>
      <c r="D38" s="360">
        <v>57</v>
      </c>
      <c r="E38" s="360">
        <v>1115</v>
      </c>
      <c r="F38" s="360">
        <v>7520100973</v>
      </c>
      <c r="G38" s="361" t="s">
        <v>795</v>
      </c>
      <c r="H38" s="360" t="s">
        <v>759</v>
      </c>
      <c r="I38" s="366" t="s">
        <v>796</v>
      </c>
      <c r="J38" s="363">
        <v>152100</v>
      </c>
      <c r="K38" s="363"/>
      <c r="L38" s="363"/>
      <c r="M38" s="364">
        <f t="shared" si="0"/>
        <v>152100</v>
      </c>
      <c r="N38" s="337" t="s">
        <v>727</v>
      </c>
    </row>
    <row r="39" spans="1:15">
      <c r="A39" s="359">
        <v>37</v>
      </c>
      <c r="B39" s="360">
        <v>2</v>
      </c>
      <c r="C39" s="360">
        <v>2</v>
      </c>
      <c r="D39" s="360">
        <v>57</v>
      </c>
      <c r="E39" s="360">
        <v>1115</v>
      </c>
      <c r="F39" s="360">
        <v>7520100989</v>
      </c>
      <c r="G39" s="361" t="s">
        <v>797</v>
      </c>
      <c r="H39" s="360" t="s">
        <v>759</v>
      </c>
      <c r="I39" s="362">
        <v>40395</v>
      </c>
      <c r="J39" s="363">
        <v>186888</v>
      </c>
      <c r="K39" s="363"/>
      <c r="L39" s="363"/>
      <c r="M39" s="364">
        <f t="shared" si="0"/>
        <v>186888</v>
      </c>
      <c r="N39" s="337" t="s">
        <v>727</v>
      </c>
    </row>
    <row r="40" spans="1:15">
      <c r="A40" s="359">
        <v>38</v>
      </c>
      <c r="B40" s="360">
        <v>2</v>
      </c>
      <c r="C40" s="360">
        <v>2</v>
      </c>
      <c r="D40" s="360">
        <v>57</v>
      </c>
      <c r="E40" s="360">
        <v>1115</v>
      </c>
      <c r="F40" s="360">
        <v>7520101001</v>
      </c>
      <c r="G40" s="360" t="s">
        <v>798</v>
      </c>
      <c r="H40" s="360" t="s">
        <v>759</v>
      </c>
      <c r="I40" s="366" t="s">
        <v>799</v>
      </c>
      <c r="J40" s="363">
        <v>37125</v>
      </c>
      <c r="K40" s="363"/>
      <c r="L40" s="363"/>
      <c r="M40" s="364">
        <f t="shared" si="0"/>
        <v>37125</v>
      </c>
      <c r="N40" s="337" t="s">
        <v>727</v>
      </c>
    </row>
    <row r="41" spans="1:15">
      <c r="A41" s="359">
        <v>39</v>
      </c>
      <c r="B41" s="360">
        <v>2</v>
      </c>
      <c r="C41" s="360">
        <v>2</v>
      </c>
      <c r="D41" s="360">
        <v>57</v>
      </c>
      <c r="E41" s="360">
        <v>1115</v>
      </c>
      <c r="F41" s="360">
        <v>7520101002</v>
      </c>
      <c r="G41" s="361" t="s">
        <v>800</v>
      </c>
      <c r="H41" s="360" t="s">
        <v>759</v>
      </c>
      <c r="I41" s="366" t="s">
        <v>801</v>
      </c>
      <c r="J41" s="363">
        <v>19390</v>
      </c>
      <c r="K41" s="363"/>
      <c r="L41" s="363"/>
      <c r="M41" s="364">
        <f t="shared" si="0"/>
        <v>19390</v>
      </c>
      <c r="N41" s="337" t="s">
        <v>727</v>
      </c>
    </row>
    <row r="42" spans="1:15">
      <c r="A42" s="359">
        <v>40</v>
      </c>
      <c r="B42" s="360">
        <v>2</v>
      </c>
      <c r="C42" s="360">
        <v>2</v>
      </c>
      <c r="D42" s="360">
        <v>57</v>
      </c>
      <c r="E42" s="360">
        <v>1115</v>
      </c>
      <c r="F42" s="360">
        <v>7520101019</v>
      </c>
      <c r="G42" s="361" t="s">
        <v>802</v>
      </c>
      <c r="H42" s="360" t="s">
        <v>759</v>
      </c>
      <c r="I42" s="362">
        <v>40758</v>
      </c>
      <c r="J42" s="363">
        <v>50670</v>
      </c>
      <c r="K42" s="363"/>
      <c r="L42" s="363"/>
      <c r="M42" s="364">
        <f t="shared" si="0"/>
        <v>50670</v>
      </c>
      <c r="N42" s="337" t="s">
        <v>727</v>
      </c>
    </row>
    <row r="43" spans="1:15">
      <c r="A43" s="359">
        <v>41</v>
      </c>
      <c r="B43" s="360">
        <v>2</v>
      </c>
      <c r="C43" s="360">
        <v>2</v>
      </c>
      <c r="D43" s="360">
        <v>57</v>
      </c>
      <c r="E43" s="360">
        <v>1115</v>
      </c>
      <c r="F43" s="360">
        <v>7525100035</v>
      </c>
      <c r="G43" s="360" t="s">
        <v>803</v>
      </c>
      <c r="H43" s="360" t="s">
        <v>759</v>
      </c>
      <c r="I43" s="362">
        <v>39824</v>
      </c>
      <c r="J43" s="363">
        <v>35</v>
      </c>
      <c r="K43" s="363"/>
      <c r="L43" s="363"/>
      <c r="M43" s="364">
        <f t="shared" si="0"/>
        <v>35</v>
      </c>
      <c r="N43" s="337" t="s">
        <v>727</v>
      </c>
    </row>
    <row r="44" spans="1:15">
      <c r="A44" s="359">
        <v>42</v>
      </c>
      <c r="B44" s="360">
        <v>2</v>
      </c>
      <c r="C44" s="360">
        <v>2</v>
      </c>
      <c r="D44" s="360">
        <v>57</v>
      </c>
      <c r="E44" s="360">
        <v>1115</v>
      </c>
      <c r="F44" s="360">
        <v>7525100037</v>
      </c>
      <c r="G44" s="361" t="s">
        <v>804</v>
      </c>
      <c r="H44" s="360" t="s">
        <v>759</v>
      </c>
      <c r="I44" s="362">
        <v>40184</v>
      </c>
      <c r="J44" s="363">
        <v>44100</v>
      </c>
      <c r="K44" s="363"/>
      <c r="L44" s="363"/>
      <c r="M44" s="364">
        <f t="shared" si="0"/>
        <v>44100</v>
      </c>
      <c r="N44" s="337" t="s">
        <v>727</v>
      </c>
      <c r="O44" s="367">
        <f>SUM(M38:M44)</f>
        <v>490308</v>
      </c>
    </row>
    <row r="45" spans="1:15">
      <c r="A45" s="359">
        <v>43</v>
      </c>
      <c r="B45" s="360">
        <v>2</v>
      </c>
      <c r="C45" s="360">
        <v>2</v>
      </c>
      <c r="D45" s="360">
        <v>57</v>
      </c>
      <c r="E45" s="360">
        <v>1116</v>
      </c>
      <c r="F45" s="360">
        <v>7520151026</v>
      </c>
      <c r="G45" s="360" t="s">
        <v>805</v>
      </c>
      <c r="H45" s="360" t="s">
        <v>759</v>
      </c>
      <c r="I45" s="362">
        <v>40367</v>
      </c>
      <c r="J45" s="363">
        <v>43700</v>
      </c>
      <c r="K45" s="363"/>
      <c r="L45" s="363"/>
      <c r="M45" s="364">
        <f t="shared" si="0"/>
        <v>43700</v>
      </c>
      <c r="N45" s="365" t="s">
        <v>725</v>
      </c>
    </row>
    <row r="46" spans="1:15">
      <c r="A46" s="359">
        <v>44</v>
      </c>
      <c r="B46" s="360">
        <v>2</v>
      </c>
      <c r="C46" s="360">
        <v>2</v>
      </c>
      <c r="D46" s="360">
        <v>57</v>
      </c>
      <c r="E46" s="360">
        <v>1116</v>
      </c>
      <c r="F46" s="360">
        <v>7520151041</v>
      </c>
      <c r="G46" s="360" t="s">
        <v>744</v>
      </c>
      <c r="H46" s="360" t="s">
        <v>759</v>
      </c>
      <c r="I46" s="362">
        <v>40636</v>
      </c>
      <c r="J46" s="363">
        <v>110681</v>
      </c>
      <c r="K46" s="363"/>
      <c r="L46" s="363"/>
      <c r="M46" s="364">
        <f t="shared" si="0"/>
        <v>110681</v>
      </c>
      <c r="N46" s="365" t="s">
        <v>725</v>
      </c>
    </row>
    <row r="47" spans="1:15">
      <c r="A47" s="359">
        <v>45</v>
      </c>
      <c r="B47" s="360">
        <v>2</v>
      </c>
      <c r="C47" s="360">
        <v>2</v>
      </c>
      <c r="D47" s="360">
        <v>57</v>
      </c>
      <c r="E47" s="360">
        <v>1129</v>
      </c>
      <c r="F47" s="360">
        <v>9030011359</v>
      </c>
      <c r="G47" s="361" t="s">
        <v>806</v>
      </c>
      <c r="H47" s="360" t="s">
        <v>759</v>
      </c>
      <c r="I47" s="362">
        <v>40817</v>
      </c>
      <c r="J47" s="363">
        <v>4509</v>
      </c>
      <c r="K47" s="363"/>
      <c r="L47" s="363"/>
      <c r="M47" s="364">
        <f t="shared" si="0"/>
        <v>4509</v>
      </c>
      <c r="N47" s="337" t="s">
        <v>727</v>
      </c>
    </row>
    <row r="48" spans="1:15">
      <c r="A48" s="359">
        <v>46</v>
      </c>
      <c r="B48" s="360">
        <v>2</v>
      </c>
      <c r="C48" s="360">
        <v>2</v>
      </c>
      <c r="D48" s="360">
        <v>57</v>
      </c>
      <c r="E48" s="360">
        <v>1129</v>
      </c>
      <c r="F48" s="360">
        <v>9030011360</v>
      </c>
      <c r="G48" s="361" t="s">
        <v>807</v>
      </c>
      <c r="H48" s="360" t="s">
        <v>759</v>
      </c>
      <c r="I48" s="362">
        <v>40817</v>
      </c>
      <c r="J48" s="363">
        <v>4563</v>
      </c>
      <c r="K48" s="363"/>
      <c r="L48" s="363"/>
      <c r="M48" s="364">
        <f t="shared" si="0"/>
        <v>4563</v>
      </c>
      <c r="N48" s="337" t="s">
        <v>727</v>
      </c>
    </row>
    <row r="49" spans="1:15">
      <c r="A49" s="359">
        <v>47</v>
      </c>
      <c r="B49" s="360">
        <v>2</v>
      </c>
      <c r="C49" s="360">
        <v>2</v>
      </c>
      <c r="D49" s="360">
        <v>57</v>
      </c>
      <c r="E49" s="360">
        <v>1129</v>
      </c>
      <c r="F49" s="360">
        <v>9030011361</v>
      </c>
      <c r="G49" s="361" t="s">
        <v>808</v>
      </c>
      <c r="H49" s="360" t="s">
        <v>759</v>
      </c>
      <c r="I49" s="362">
        <v>40878</v>
      </c>
      <c r="J49" s="363">
        <v>13200</v>
      </c>
      <c r="K49" s="363"/>
      <c r="L49" s="363"/>
      <c r="M49" s="364">
        <f t="shared" si="0"/>
        <v>13200</v>
      </c>
      <c r="N49" s="337" t="s">
        <v>727</v>
      </c>
      <c r="O49" s="367">
        <f>SUM(M47:M49)</f>
        <v>22272</v>
      </c>
    </row>
    <row r="50" spans="1:15">
      <c r="A50" s="359">
        <v>48</v>
      </c>
      <c r="B50" s="360">
        <v>2</v>
      </c>
      <c r="C50" s="360">
        <v>2</v>
      </c>
      <c r="D50" s="360">
        <v>99</v>
      </c>
      <c r="E50" s="360">
        <v>1107</v>
      </c>
      <c r="F50" s="360">
        <v>2501010363</v>
      </c>
      <c r="G50" s="360" t="s">
        <v>809</v>
      </c>
      <c r="H50" s="360" t="s">
        <v>759</v>
      </c>
      <c r="I50" s="362">
        <v>34538</v>
      </c>
      <c r="J50" s="363">
        <v>259026724.33000001</v>
      </c>
      <c r="K50" s="363">
        <v>919303.19</v>
      </c>
      <c r="L50" s="363">
        <v>0</v>
      </c>
      <c r="M50" s="364">
        <f t="shared" si="0"/>
        <v>259946027.52000001</v>
      </c>
      <c r="N50" s="529" t="s">
        <v>749</v>
      </c>
    </row>
    <row r="51" spans="1:15">
      <c r="A51" s="359">
        <v>49</v>
      </c>
      <c r="B51" s="360">
        <v>2</v>
      </c>
      <c r="C51" s="360">
        <v>2</v>
      </c>
      <c r="D51" s="360">
        <v>99</v>
      </c>
      <c r="E51" s="360">
        <v>1107</v>
      </c>
      <c r="F51" s="360">
        <v>2501010364</v>
      </c>
      <c r="G51" s="360" t="s">
        <v>810</v>
      </c>
      <c r="H51" s="368" t="s">
        <v>759</v>
      </c>
      <c r="I51" s="362">
        <v>34607</v>
      </c>
      <c r="J51" s="363">
        <v>568892152.84000003</v>
      </c>
      <c r="K51" s="363">
        <v>2019036.35</v>
      </c>
      <c r="L51" s="363">
        <v>0</v>
      </c>
      <c r="M51" s="364">
        <f t="shared" si="0"/>
        <v>570911189.19000006</v>
      </c>
      <c r="N51" s="530"/>
    </row>
    <row r="52" spans="1:15">
      <c r="A52" s="359">
        <v>50</v>
      </c>
      <c r="B52" s="360">
        <v>2</v>
      </c>
      <c r="C52" s="360">
        <v>2</v>
      </c>
      <c r="D52" s="360">
        <v>99</v>
      </c>
      <c r="E52" s="360">
        <v>1107</v>
      </c>
      <c r="F52" s="360">
        <v>2501010365</v>
      </c>
      <c r="G52" s="360" t="s">
        <v>811</v>
      </c>
      <c r="H52" s="360" t="s">
        <v>759</v>
      </c>
      <c r="I52" s="362">
        <v>35212</v>
      </c>
      <c r="J52" s="363">
        <v>243184496.78</v>
      </c>
      <c r="K52" s="363">
        <v>999037.06</v>
      </c>
      <c r="L52" s="363">
        <v>0</v>
      </c>
      <c r="M52" s="364">
        <f t="shared" si="0"/>
        <v>244183533.84</v>
      </c>
      <c r="N52" s="530"/>
    </row>
    <row r="53" spans="1:15">
      <c r="A53" s="359">
        <v>51</v>
      </c>
      <c r="B53" s="360">
        <v>2</v>
      </c>
      <c r="C53" s="360">
        <v>2</v>
      </c>
      <c r="D53" s="360">
        <v>99</v>
      </c>
      <c r="E53" s="360">
        <v>1107</v>
      </c>
      <c r="F53" s="360">
        <v>2501010366</v>
      </c>
      <c r="G53" s="360" t="s">
        <v>812</v>
      </c>
      <c r="H53" s="360" t="s">
        <v>759</v>
      </c>
      <c r="I53" s="362">
        <v>35342</v>
      </c>
      <c r="J53" s="363">
        <v>471026906.12</v>
      </c>
      <c r="K53" s="363">
        <v>1935045.03</v>
      </c>
      <c r="L53" s="363">
        <v>0</v>
      </c>
      <c r="M53" s="364">
        <f t="shared" si="0"/>
        <v>472961951.14999998</v>
      </c>
      <c r="N53" s="530"/>
    </row>
    <row r="54" spans="1:15">
      <c r="A54" s="359">
        <v>52</v>
      </c>
      <c r="B54" s="360">
        <v>2</v>
      </c>
      <c r="C54" s="360">
        <v>2</v>
      </c>
      <c r="D54" s="360">
        <v>99</v>
      </c>
      <c r="E54" s="360">
        <v>1107</v>
      </c>
      <c r="F54" s="360">
        <v>2501010367</v>
      </c>
      <c r="G54" s="360" t="s">
        <v>813</v>
      </c>
      <c r="H54" s="360" t="s">
        <v>759</v>
      </c>
      <c r="I54" s="362">
        <v>35623</v>
      </c>
      <c r="J54" s="363">
        <v>230778806.22999999</v>
      </c>
      <c r="K54" s="363">
        <v>948072.44</v>
      </c>
      <c r="L54" s="363">
        <v>0</v>
      </c>
      <c r="M54" s="364">
        <f t="shared" si="0"/>
        <v>231726878.66999999</v>
      </c>
      <c r="N54" s="530"/>
    </row>
    <row r="55" spans="1:15">
      <c r="A55" s="359">
        <v>53</v>
      </c>
      <c r="B55" s="360">
        <v>2</v>
      </c>
      <c r="C55" s="360">
        <v>2</v>
      </c>
      <c r="D55" s="360">
        <v>99</v>
      </c>
      <c r="E55" s="360">
        <v>1107</v>
      </c>
      <c r="F55" s="360">
        <v>2501010368</v>
      </c>
      <c r="G55" s="360" t="s">
        <v>814</v>
      </c>
      <c r="H55" s="360" t="s">
        <v>759</v>
      </c>
      <c r="I55" s="362">
        <v>35723</v>
      </c>
      <c r="J55" s="363">
        <v>413633486.10000002</v>
      </c>
      <c r="K55" s="363">
        <v>1699265.94</v>
      </c>
      <c r="L55" s="363">
        <v>0</v>
      </c>
      <c r="M55" s="364">
        <f t="shared" si="0"/>
        <v>415332752.04000002</v>
      </c>
      <c r="N55" s="530"/>
    </row>
    <row r="56" spans="1:15">
      <c r="A56" s="359">
        <v>54</v>
      </c>
      <c r="B56" s="360">
        <v>2</v>
      </c>
      <c r="C56" s="360">
        <v>2</v>
      </c>
      <c r="D56" s="360">
        <v>99</v>
      </c>
      <c r="E56" s="360">
        <v>1107</v>
      </c>
      <c r="F56" s="360">
        <v>2501010372</v>
      </c>
      <c r="G56" s="360" t="s">
        <v>815</v>
      </c>
      <c r="H56" s="360" t="s">
        <v>759</v>
      </c>
      <c r="I56" s="362">
        <v>35969</v>
      </c>
      <c r="J56" s="363">
        <v>233557295.78999999</v>
      </c>
      <c r="K56" s="363">
        <v>959486.48</v>
      </c>
      <c r="L56" s="363">
        <v>0</v>
      </c>
      <c r="M56" s="364">
        <f t="shared" si="0"/>
        <v>234516782.26999998</v>
      </c>
      <c r="N56" s="530"/>
    </row>
    <row r="57" spans="1:15">
      <c r="A57" s="359">
        <v>55</v>
      </c>
      <c r="B57" s="360">
        <v>2</v>
      </c>
      <c r="C57" s="360">
        <v>2</v>
      </c>
      <c r="D57" s="360">
        <v>99</v>
      </c>
      <c r="E57" s="360">
        <v>1107</v>
      </c>
      <c r="F57" s="360">
        <v>2501010373</v>
      </c>
      <c r="G57" s="361" t="s">
        <v>816</v>
      </c>
      <c r="H57" s="368" t="s">
        <v>759</v>
      </c>
      <c r="I57" s="362">
        <v>36097</v>
      </c>
      <c r="J57" s="363">
        <v>230924120.56999999</v>
      </c>
      <c r="K57" s="363">
        <v>948669.17</v>
      </c>
      <c r="L57" s="363">
        <v>0</v>
      </c>
      <c r="M57" s="364">
        <f t="shared" si="0"/>
        <v>231872789.73999998</v>
      </c>
      <c r="N57" s="530"/>
    </row>
    <row r="58" spans="1:15">
      <c r="A58" s="359">
        <v>56</v>
      </c>
      <c r="B58" s="360">
        <v>2</v>
      </c>
      <c r="C58" s="360">
        <v>2</v>
      </c>
      <c r="D58" s="360">
        <v>99</v>
      </c>
      <c r="E58" s="360">
        <v>1107</v>
      </c>
      <c r="F58" s="360">
        <v>2501010377</v>
      </c>
      <c r="G58" s="360" t="s">
        <v>817</v>
      </c>
      <c r="H58" s="368" t="s">
        <v>759</v>
      </c>
      <c r="I58" s="362">
        <v>36249</v>
      </c>
      <c r="J58" s="363">
        <v>239435226.93000001</v>
      </c>
      <c r="K58" s="363">
        <v>983634.65</v>
      </c>
      <c r="L58" s="363">
        <v>0</v>
      </c>
      <c r="M58" s="364">
        <f t="shared" si="0"/>
        <v>240418861.58000001</v>
      </c>
      <c r="N58" s="531"/>
    </row>
    <row r="59" spans="1:15">
      <c r="M59" s="369">
        <f>SUM(M3:M58)</f>
        <v>2922815206.9999995</v>
      </c>
      <c r="O59" s="192">
        <f>SUM(O3:O49)</f>
        <v>19259307</v>
      </c>
    </row>
    <row r="61" spans="1:15">
      <c r="G61" s="332" t="s">
        <v>589</v>
      </c>
      <c r="H61" s="332"/>
      <c r="I61" s="332"/>
      <c r="J61" s="332"/>
      <c r="K61" s="349">
        <f>SUM(M3:M58)</f>
        <v>2922815206.9999995</v>
      </c>
      <c r="M61" s="369"/>
    </row>
    <row r="62" spans="1:15">
      <c r="G62" s="351" t="s">
        <v>751</v>
      </c>
      <c r="H62" s="332"/>
      <c r="I62" s="332"/>
      <c r="J62" s="332"/>
      <c r="K62" s="370">
        <v>19259307</v>
      </c>
    </row>
    <row r="63" spans="1:15">
      <c r="G63" s="332" t="s">
        <v>752</v>
      </c>
      <c r="H63" s="332"/>
      <c r="I63" s="332"/>
      <c r="J63" s="332"/>
      <c r="K63" s="352">
        <v>2903555900</v>
      </c>
    </row>
  </sheetData>
  <mergeCells count="2">
    <mergeCell ref="A1:N1"/>
    <mergeCell ref="N50:N58"/>
  </mergeCells>
  <printOptions horizontalCentered="1"/>
  <pageMargins left="0.11811023622047245" right="0.11811023622047245" top="0.15748031496062992" bottom="0.15748031496062992" header="0" footer="0"/>
  <pageSetup paperSize="9" scale="87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34"/>
  <sheetViews>
    <sheetView workbookViewId="0">
      <pane xSplit="5" ySplit="2" topLeftCell="G18" activePane="bottomRight" state="frozen"/>
      <selection sqref="A1:K1"/>
      <selection pane="topRight" sqref="A1:K1"/>
      <selection pane="bottomLeft" sqref="A1:K1"/>
      <selection pane="bottomRight" sqref="A1:N32"/>
    </sheetView>
  </sheetViews>
  <sheetFormatPr defaultRowHeight="15"/>
  <cols>
    <col min="1" max="1" width="6.5" style="192" customWidth="1"/>
    <col min="2" max="2" width="5.1640625" style="192" hidden="1" customWidth="1"/>
    <col min="3" max="3" width="9.83203125" style="192" hidden="1" customWidth="1"/>
    <col min="4" max="4" width="3.83203125" style="192" hidden="1" customWidth="1"/>
    <col min="5" max="5" width="8.33203125" style="192" hidden="1" customWidth="1"/>
    <col min="6" max="6" width="12.6640625" style="192" customWidth="1"/>
    <col min="7" max="7" width="65.1640625" style="192" customWidth="1"/>
    <col min="8" max="8" width="6" style="192" hidden="1" customWidth="1"/>
    <col min="9" max="9" width="12.5" style="192" hidden="1" customWidth="1"/>
    <col min="10" max="10" width="17.1640625" style="192" customWidth="1"/>
    <col min="11" max="11" width="15.1640625" style="192" customWidth="1"/>
    <col min="12" max="12" width="16.83203125" style="192" customWidth="1"/>
    <col min="13" max="13" width="14.6640625" style="192" bestFit="1" customWidth="1"/>
    <col min="14" max="14" width="19.33203125" style="192" bestFit="1" customWidth="1"/>
    <col min="15" max="15" width="16" style="192" bestFit="1" customWidth="1"/>
    <col min="16" max="16384" width="9.33203125" style="192"/>
  </cols>
  <sheetData>
    <row r="1" spans="1:14" ht="18.75">
      <c r="A1" s="532" t="s">
        <v>818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4" s="372" customFormat="1" ht="38.25">
      <c r="A2" s="333" t="s">
        <v>715</v>
      </c>
      <c r="B2" s="334" t="s">
        <v>195</v>
      </c>
      <c r="C2" s="334" t="s">
        <v>716</v>
      </c>
      <c r="D2" s="371" t="s">
        <v>819</v>
      </c>
      <c r="E2" s="334" t="s">
        <v>717</v>
      </c>
      <c r="F2" s="334" t="s">
        <v>718</v>
      </c>
      <c r="G2" s="334" t="s">
        <v>719</v>
      </c>
      <c r="H2" s="371" t="s">
        <v>820</v>
      </c>
      <c r="I2" s="371" t="s">
        <v>756</v>
      </c>
      <c r="J2" s="357" t="s">
        <v>720</v>
      </c>
      <c r="K2" s="357" t="s">
        <v>721</v>
      </c>
      <c r="L2" s="357" t="s">
        <v>722</v>
      </c>
      <c r="M2" s="357" t="s">
        <v>723</v>
      </c>
      <c r="N2" s="335" t="s">
        <v>51</v>
      </c>
    </row>
    <row r="3" spans="1:14">
      <c r="A3" s="373">
        <v>1</v>
      </c>
      <c r="B3" s="374">
        <v>2</v>
      </c>
      <c r="C3" s="374">
        <v>2</v>
      </c>
      <c r="D3" s="374">
        <v>51</v>
      </c>
      <c r="E3" s="374">
        <v>1107</v>
      </c>
      <c r="F3" s="374">
        <v>2545602427</v>
      </c>
      <c r="G3" s="374" t="s">
        <v>821</v>
      </c>
      <c r="H3" s="374" t="s">
        <v>759</v>
      </c>
      <c r="I3" s="375">
        <v>40790</v>
      </c>
      <c r="J3" s="376">
        <v>355114</v>
      </c>
      <c r="K3" s="376"/>
      <c r="L3" s="376"/>
      <c r="M3" s="376">
        <v>355114</v>
      </c>
      <c r="N3" s="337" t="s">
        <v>727</v>
      </c>
    </row>
    <row r="4" spans="1:14">
      <c r="A4" s="373">
        <v>2</v>
      </c>
      <c r="B4" s="374">
        <v>2</v>
      </c>
      <c r="C4" s="374">
        <v>2</v>
      </c>
      <c r="D4" s="374">
        <v>51</v>
      </c>
      <c r="E4" s="374">
        <v>1107</v>
      </c>
      <c r="F4" s="374">
        <v>2545602505</v>
      </c>
      <c r="G4" s="374" t="s">
        <v>822</v>
      </c>
      <c r="H4" s="374" t="s">
        <v>759</v>
      </c>
      <c r="I4" s="377" t="s">
        <v>823</v>
      </c>
      <c r="J4" s="376">
        <v>367133</v>
      </c>
      <c r="K4" s="376"/>
      <c r="L4" s="376"/>
      <c r="M4" s="376">
        <v>367133</v>
      </c>
      <c r="N4" s="337" t="s">
        <v>727</v>
      </c>
    </row>
    <row r="5" spans="1:14">
      <c r="A5" s="373">
        <v>3</v>
      </c>
      <c r="B5" s="374">
        <v>2</v>
      </c>
      <c r="C5" s="374">
        <v>2</v>
      </c>
      <c r="D5" s="374">
        <v>51</v>
      </c>
      <c r="E5" s="374">
        <v>1107</v>
      </c>
      <c r="F5" s="374">
        <v>2580820016</v>
      </c>
      <c r="G5" s="378" t="s">
        <v>824</v>
      </c>
      <c r="H5" s="374" t="s">
        <v>759</v>
      </c>
      <c r="I5" s="375">
        <v>40555</v>
      </c>
      <c r="J5" s="376">
        <v>1</v>
      </c>
      <c r="K5" s="376"/>
      <c r="L5" s="376"/>
      <c r="M5" s="376">
        <v>1</v>
      </c>
      <c r="N5" s="337" t="s">
        <v>727</v>
      </c>
    </row>
    <row r="6" spans="1:14">
      <c r="A6" s="373">
        <v>4</v>
      </c>
      <c r="B6" s="374">
        <v>2</v>
      </c>
      <c r="C6" s="374">
        <v>2</v>
      </c>
      <c r="D6" s="374">
        <v>51</v>
      </c>
      <c r="E6" s="374">
        <v>1107</v>
      </c>
      <c r="F6" s="374">
        <v>2580820017</v>
      </c>
      <c r="G6" s="378" t="s">
        <v>825</v>
      </c>
      <c r="H6" s="374" t="s">
        <v>759</v>
      </c>
      <c r="I6" s="375">
        <v>40555</v>
      </c>
      <c r="J6" s="376">
        <v>1</v>
      </c>
      <c r="K6" s="376"/>
      <c r="L6" s="376"/>
      <c r="M6" s="376">
        <v>1</v>
      </c>
      <c r="N6" s="337" t="s">
        <v>727</v>
      </c>
    </row>
    <row r="7" spans="1:14">
      <c r="A7" s="373">
        <v>5</v>
      </c>
      <c r="B7" s="374">
        <v>2</v>
      </c>
      <c r="C7" s="374">
        <v>2</v>
      </c>
      <c r="D7" s="374">
        <v>51</v>
      </c>
      <c r="E7" s="374">
        <v>1107</v>
      </c>
      <c r="F7" s="374">
        <v>2580820018</v>
      </c>
      <c r="G7" s="378" t="s">
        <v>826</v>
      </c>
      <c r="H7" s="374" t="s">
        <v>759</v>
      </c>
      <c r="I7" s="375">
        <v>40555</v>
      </c>
      <c r="J7" s="376">
        <v>1</v>
      </c>
      <c r="K7" s="376"/>
      <c r="L7" s="376"/>
      <c r="M7" s="376">
        <v>1</v>
      </c>
      <c r="N7" s="337" t="s">
        <v>727</v>
      </c>
    </row>
    <row r="8" spans="1:14">
      <c r="A8" s="373">
        <v>6</v>
      </c>
      <c r="B8" s="374">
        <v>2</v>
      </c>
      <c r="C8" s="374">
        <v>2</v>
      </c>
      <c r="D8" s="374">
        <v>51</v>
      </c>
      <c r="E8" s="374">
        <v>1107</v>
      </c>
      <c r="F8" s="374">
        <v>2580820019</v>
      </c>
      <c r="G8" s="378" t="s">
        <v>827</v>
      </c>
      <c r="H8" s="374" t="s">
        <v>759</v>
      </c>
      <c r="I8" s="375">
        <v>40555</v>
      </c>
      <c r="J8" s="376">
        <v>1</v>
      </c>
      <c r="K8" s="376"/>
      <c r="L8" s="376"/>
      <c r="M8" s="376">
        <v>1</v>
      </c>
      <c r="N8" s="337" t="s">
        <v>727</v>
      </c>
    </row>
    <row r="9" spans="1:14">
      <c r="A9" s="373">
        <v>7</v>
      </c>
      <c r="B9" s="374">
        <v>2</v>
      </c>
      <c r="C9" s="374">
        <v>2</v>
      </c>
      <c r="D9" s="374">
        <v>51</v>
      </c>
      <c r="E9" s="374">
        <v>1107</v>
      </c>
      <c r="F9" s="374">
        <v>2580820043</v>
      </c>
      <c r="G9" s="378" t="s">
        <v>828</v>
      </c>
      <c r="H9" s="374" t="s">
        <v>759</v>
      </c>
      <c r="I9" s="377" t="s">
        <v>829</v>
      </c>
      <c r="J9" s="376">
        <v>1</v>
      </c>
      <c r="K9" s="376"/>
      <c r="L9" s="376"/>
      <c r="M9" s="376">
        <v>1</v>
      </c>
      <c r="N9" s="337" t="s">
        <v>727</v>
      </c>
    </row>
    <row r="10" spans="1:14">
      <c r="A10" s="373">
        <v>8</v>
      </c>
      <c r="B10" s="374">
        <v>2</v>
      </c>
      <c r="C10" s="374">
        <v>2</v>
      </c>
      <c r="D10" s="374">
        <v>51</v>
      </c>
      <c r="E10" s="374">
        <v>1107</v>
      </c>
      <c r="F10" s="374">
        <v>2580820063</v>
      </c>
      <c r="G10" s="378" t="s">
        <v>830</v>
      </c>
      <c r="H10" s="374" t="s">
        <v>759</v>
      </c>
      <c r="I10" s="377" t="s">
        <v>829</v>
      </c>
      <c r="J10" s="376">
        <v>1</v>
      </c>
      <c r="K10" s="376"/>
      <c r="L10" s="376"/>
      <c r="M10" s="376">
        <v>1</v>
      </c>
      <c r="N10" s="337" t="s">
        <v>727</v>
      </c>
    </row>
    <row r="11" spans="1:14">
      <c r="A11" s="373">
        <v>9</v>
      </c>
      <c r="B11" s="374">
        <v>2</v>
      </c>
      <c r="C11" s="374">
        <v>2</v>
      </c>
      <c r="D11" s="374">
        <v>51</v>
      </c>
      <c r="E11" s="374">
        <v>1107</v>
      </c>
      <c r="F11" s="374">
        <v>2580820097</v>
      </c>
      <c r="G11" s="374" t="s">
        <v>831</v>
      </c>
      <c r="H11" s="374" t="s">
        <v>759</v>
      </c>
      <c r="I11" s="377" t="s">
        <v>829</v>
      </c>
      <c r="J11" s="376">
        <v>1</v>
      </c>
      <c r="K11" s="376"/>
      <c r="L11" s="376"/>
      <c r="M11" s="376">
        <v>1</v>
      </c>
      <c r="N11" s="337" t="s">
        <v>727</v>
      </c>
    </row>
    <row r="12" spans="1:14">
      <c r="A12" s="373">
        <v>10</v>
      </c>
      <c r="B12" s="374">
        <v>2</v>
      </c>
      <c r="C12" s="374">
        <v>2</v>
      </c>
      <c r="D12" s="374">
        <v>51</v>
      </c>
      <c r="E12" s="374">
        <v>1107</v>
      </c>
      <c r="F12" s="374">
        <v>2580820120</v>
      </c>
      <c r="G12" s="378" t="s">
        <v>832</v>
      </c>
      <c r="H12" s="374" t="s">
        <v>759</v>
      </c>
      <c r="I12" s="377" t="s">
        <v>829</v>
      </c>
      <c r="J12" s="376">
        <v>1</v>
      </c>
      <c r="K12" s="376"/>
      <c r="L12" s="376"/>
      <c r="M12" s="376">
        <v>1</v>
      </c>
      <c r="N12" s="337" t="s">
        <v>727</v>
      </c>
    </row>
    <row r="13" spans="1:14">
      <c r="A13" s="373">
        <v>11</v>
      </c>
      <c r="B13" s="374">
        <v>2</v>
      </c>
      <c r="C13" s="374">
        <v>2</v>
      </c>
      <c r="D13" s="374">
        <v>51</v>
      </c>
      <c r="E13" s="374">
        <v>1107</v>
      </c>
      <c r="F13" s="374">
        <v>2580820127</v>
      </c>
      <c r="G13" s="374" t="s">
        <v>833</v>
      </c>
      <c r="H13" s="374" t="s">
        <v>759</v>
      </c>
      <c r="I13" s="377" t="s">
        <v>829</v>
      </c>
      <c r="J13" s="376">
        <v>1</v>
      </c>
      <c r="K13" s="376"/>
      <c r="L13" s="376"/>
      <c r="M13" s="376">
        <v>1</v>
      </c>
      <c r="N13" s="337" t="s">
        <v>727</v>
      </c>
    </row>
    <row r="14" spans="1:14">
      <c r="A14" s="373">
        <v>12</v>
      </c>
      <c r="B14" s="374">
        <v>2</v>
      </c>
      <c r="C14" s="374">
        <v>2</v>
      </c>
      <c r="D14" s="374">
        <v>51</v>
      </c>
      <c r="E14" s="374">
        <v>1107</v>
      </c>
      <c r="F14" s="374">
        <v>2580820130</v>
      </c>
      <c r="G14" s="374" t="s">
        <v>834</v>
      </c>
      <c r="H14" s="374" t="s">
        <v>759</v>
      </c>
      <c r="I14" s="377" t="s">
        <v>829</v>
      </c>
      <c r="J14" s="376">
        <v>1</v>
      </c>
      <c r="K14" s="376"/>
      <c r="L14" s="376"/>
      <c r="M14" s="376">
        <v>1</v>
      </c>
      <c r="N14" s="337" t="s">
        <v>727</v>
      </c>
    </row>
    <row r="15" spans="1:14">
      <c r="A15" s="373">
        <v>13</v>
      </c>
      <c r="B15" s="374">
        <v>2</v>
      </c>
      <c r="C15" s="374">
        <v>2</v>
      </c>
      <c r="D15" s="374">
        <v>51</v>
      </c>
      <c r="E15" s="374">
        <v>1115</v>
      </c>
      <c r="F15" s="374">
        <v>7520101061</v>
      </c>
      <c r="G15" s="378" t="s">
        <v>835</v>
      </c>
      <c r="H15" s="374" t="s">
        <v>759</v>
      </c>
      <c r="I15" s="375">
        <v>41246</v>
      </c>
      <c r="J15" s="376">
        <v>209000</v>
      </c>
      <c r="K15" s="376"/>
      <c r="L15" s="376"/>
      <c r="M15" s="376">
        <v>209000</v>
      </c>
      <c r="N15" s="337" t="s">
        <v>727</v>
      </c>
    </row>
    <row r="16" spans="1:14">
      <c r="A16" s="373">
        <v>14</v>
      </c>
      <c r="B16" s="374">
        <v>2</v>
      </c>
      <c r="C16" s="374">
        <v>2</v>
      </c>
      <c r="D16" s="374">
        <v>51</v>
      </c>
      <c r="E16" s="374">
        <v>1115</v>
      </c>
      <c r="F16" s="374">
        <v>7525100066</v>
      </c>
      <c r="G16" s="374" t="s">
        <v>836</v>
      </c>
      <c r="H16" s="374" t="s">
        <v>759</v>
      </c>
      <c r="I16" s="375">
        <v>40971</v>
      </c>
      <c r="J16" s="376">
        <v>8344</v>
      </c>
      <c r="K16" s="376"/>
      <c r="L16" s="376"/>
      <c r="M16" s="376">
        <v>8344</v>
      </c>
      <c r="N16" s="337" t="s">
        <v>727</v>
      </c>
    </row>
    <row r="17" spans="1:15">
      <c r="A17" s="373">
        <v>15</v>
      </c>
      <c r="B17" s="374">
        <v>2</v>
      </c>
      <c r="C17" s="374">
        <v>2</v>
      </c>
      <c r="D17" s="374">
        <v>51</v>
      </c>
      <c r="E17" s="374">
        <v>1116</v>
      </c>
      <c r="F17" s="374">
        <v>7520151051</v>
      </c>
      <c r="G17" s="378" t="s">
        <v>837</v>
      </c>
      <c r="H17" s="374" t="s">
        <v>759</v>
      </c>
      <c r="I17" s="375">
        <v>40910</v>
      </c>
      <c r="J17" s="376">
        <v>296172</v>
      </c>
      <c r="K17" s="376"/>
      <c r="L17" s="376"/>
      <c r="M17" s="376">
        <v>296172</v>
      </c>
      <c r="N17" s="365" t="s">
        <v>725</v>
      </c>
    </row>
    <row r="18" spans="1:15">
      <c r="A18" s="373">
        <v>16</v>
      </c>
      <c r="B18" s="374">
        <v>2</v>
      </c>
      <c r="C18" s="374">
        <v>2</v>
      </c>
      <c r="D18" s="374">
        <v>51</v>
      </c>
      <c r="E18" s="374">
        <v>1116</v>
      </c>
      <c r="F18" s="374">
        <v>7520151052</v>
      </c>
      <c r="G18" s="378" t="s">
        <v>838</v>
      </c>
      <c r="H18" s="374" t="s">
        <v>759</v>
      </c>
      <c r="I18" s="377" t="s">
        <v>839</v>
      </c>
      <c r="J18" s="376">
        <v>35900</v>
      </c>
      <c r="K18" s="376"/>
      <c r="L18" s="376"/>
      <c r="M18" s="376">
        <v>35900</v>
      </c>
      <c r="N18" s="365" t="s">
        <v>725</v>
      </c>
      <c r="O18" s="367">
        <f>SUM(M17:M18)</f>
        <v>332072</v>
      </c>
    </row>
    <row r="19" spans="1:15">
      <c r="A19" s="373">
        <v>17</v>
      </c>
      <c r="B19" s="374">
        <v>2</v>
      </c>
      <c r="C19" s="374">
        <v>2</v>
      </c>
      <c r="D19" s="374">
        <v>51</v>
      </c>
      <c r="E19" s="374">
        <v>1122</v>
      </c>
      <c r="F19" s="374">
        <v>7520650663</v>
      </c>
      <c r="G19" s="378" t="s">
        <v>840</v>
      </c>
      <c r="H19" s="374" t="s">
        <v>759</v>
      </c>
      <c r="I19" s="377" t="s">
        <v>841</v>
      </c>
      <c r="J19" s="376">
        <v>454584</v>
      </c>
      <c r="K19" s="376"/>
      <c r="L19" s="376"/>
      <c r="M19" s="376">
        <v>454584</v>
      </c>
      <c r="N19" s="337" t="s">
        <v>727</v>
      </c>
    </row>
    <row r="20" spans="1:15">
      <c r="A20" s="373">
        <v>18</v>
      </c>
      <c r="B20" s="374">
        <v>2</v>
      </c>
      <c r="C20" s="374">
        <v>2</v>
      </c>
      <c r="D20" s="374">
        <v>51</v>
      </c>
      <c r="E20" s="374">
        <v>1129</v>
      </c>
      <c r="F20" s="374">
        <v>9020101069</v>
      </c>
      <c r="G20" s="374" t="s">
        <v>842</v>
      </c>
      <c r="H20" s="374" t="s">
        <v>759</v>
      </c>
      <c r="I20" s="377" t="s">
        <v>843</v>
      </c>
      <c r="J20" s="376">
        <v>4495</v>
      </c>
      <c r="K20" s="376"/>
      <c r="L20" s="376"/>
      <c r="M20" s="376">
        <v>4495</v>
      </c>
      <c r="N20" s="337" t="s">
        <v>727</v>
      </c>
    </row>
    <row r="21" spans="1:15">
      <c r="A21" s="373">
        <v>19</v>
      </c>
      <c r="B21" s="374">
        <v>2</v>
      </c>
      <c r="C21" s="374">
        <v>2</v>
      </c>
      <c r="D21" s="374">
        <v>99</v>
      </c>
      <c r="E21" s="374">
        <v>1107</v>
      </c>
      <c r="F21" s="374">
        <v>2501010363</v>
      </c>
      <c r="G21" s="374" t="s">
        <v>809</v>
      </c>
      <c r="H21" s="374" t="s">
        <v>759</v>
      </c>
      <c r="I21" s="375">
        <v>34538</v>
      </c>
      <c r="J21" s="376">
        <v>259946027.52000001</v>
      </c>
      <c r="K21" s="376">
        <v>1787271.23</v>
      </c>
      <c r="L21" s="376">
        <v>0</v>
      </c>
      <c r="M21" s="376">
        <f t="shared" ref="M21:M29" si="0">J21+K21-L21</f>
        <v>261733298.75</v>
      </c>
      <c r="N21" s="529" t="s">
        <v>749</v>
      </c>
    </row>
    <row r="22" spans="1:15">
      <c r="A22" s="373">
        <v>20</v>
      </c>
      <c r="B22" s="374">
        <v>2</v>
      </c>
      <c r="C22" s="374">
        <v>2</v>
      </c>
      <c r="D22" s="374">
        <v>99</v>
      </c>
      <c r="E22" s="374">
        <v>1107</v>
      </c>
      <c r="F22" s="374">
        <v>2501010364</v>
      </c>
      <c r="G22" s="374" t="s">
        <v>810</v>
      </c>
      <c r="H22" s="374" t="s">
        <v>759</v>
      </c>
      <c r="I22" s="375">
        <v>34607</v>
      </c>
      <c r="J22" s="376">
        <v>570911189.19000006</v>
      </c>
      <c r="K22" s="376">
        <v>3925326.93</v>
      </c>
      <c r="L22" s="376">
        <v>0</v>
      </c>
      <c r="M22" s="376">
        <f t="shared" si="0"/>
        <v>574836516.12</v>
      </c>
      <c r="N22" s="530"/>
    </row>
    <row r="23" spans="1:15">
      <c r="A23" s="373">
        <v>21</v>
      </c>
      <c r="B23" s="374">
        <v>2</v>
      </c>
      <c r="C23" s="374">
        <v>2</v>
      </c>
      <c r="D23" s="374">
        <v>99</v>
      </c>
      <c r="E23" s="374">
        <v>1107</v>
      </c>
      <c r="F23" s="374">
        <v>2501010365</v>
      </c>
      <c r="G23" s="374" t="s">
        <v>811</v>
      </c>
      <c r="H23" s="374" t="s">
        <v>759</v>
      </c>
      <c r="I23" s="375">
        <v>35212</v>
      </c>
      <c r="J23" s="376">
        <v>244183533.84</v>
      </c>
      <c r="K23" s="376">
        <v>1678895.46</v>
      </c>
      <c r="L23" s="376">
        <v>0</v>
      </c>
      <c r="M23" s="376">
        <f t="shared" si="0"/>
        <v>245862429.30000001</v>
      </c>
      <c r="N23" s="530"/>
    </row>
    <row r="24" spans="1:15">
      <c r="A24" s="373">
        <v>22</v>
      </c>
      <c r="B24" s="374">
        <v>2</v>
      </c>
      <c r="C24" s="374">
        <v>2</v>
      </c>
      <c r="D24" s="374">
        <v>99</v>
      </c>
      <c r="E24" s="374">
        <v>1107</v>
      </c>
      <c r="F24" s="374">
        <v>2501010366</v>
      </c>
      <c r="G24" s="374" t="s">
        <v>812</v>
      </c>
      <c r="H24" s="374" t="s">
        <v>759</v>
      </c>
      <c r="I24" s="379">
        <v>35165</v>
      </c>
      <c r="J24" s="376">
        <v>472961951.14999998</v>
      </c>
      <c r="K24" s="376">
        <v>3251872.3</v>
      </c>
      <c r="L24" s="376">
        <v>0</v>
      </c>
      <c r="M24" s="376">
        <f t="shared" si="0"/>
        <v>476213823.44999999</v>
      </c>
      <c r="N24" s="530"/>
    </row>
    <row r="25" spans="1:15">
      <c r="A25" s="373">
        <v>23</v>
      </c>
      <c r="B25" s="374">
        <v>2</v>
      </c>
      <c r="C25" s="374">
        <v>2</v>
      </c>
      <c r="D25" s="374">
        <v>99</v>
      </c>
      <c r="E25" s="374">
        <v>1107</v>
      </c>
      <c r="F25" s="374">
        <v>2501010367</v>
      </c>
      <c r="G25" s="374" t="s">
        <v>813</v>
      </c>
      <c r="H25" s="374" t="s">
        <v>759</v>
      </c>
      <c r="I25" s="379">
        <v>35771</v>
      </c>
      <c r="J25" s="376">
        <v>231726878.66999999</v>
      </c>
      <c r="K25" s="376">
        <v>1593249.13</v>
      </c>
      <c r="L25" s="376">
        <v>0</v>
      </c>
      <c r="M25" s="376">
        <f t="shared" si="0"/>
        <v>233320127.79999998</v>
      </c>
      <c r="N25" s="530"/>
    </row>
    <row r="26" spans="1:15">
      <c r="A26" s="373">
        <v>24</v>
      </c>
      <c r="B26" s="374">
        <v>2</v>
      </c>
      <c r="C26" s="374">
        <v>2</v>
      </c>
      <c r="D26" s="374">
        <v>99</v>
      </c>
      <c r="E26" s="374">
        <v>1107</v>
      </c>
      <c r="F26" s="374">
        <v>2501010368</v>
      </c>
      <c r="G26" s="374" t="s">
        <v>814</v>
      </c>
      <c r="H26" s="374" t="s">
        <v>759</v>
      </c>
      <c r="I26" s="379">
        <v>35723</v>
      </c>
      <c r="J26" s="376">
        <v>415332752.04000002</v>
      </c>
      <c r="K26" s="376">
        <v>2855640.01</v>
      </c>
      <c r="L26" s="376">
        <v>0</v>
      </c>
      <c r="M26" s="376">
        <f t="shared" si="0"/>
        <v>418188392.05000001</v>
      </c>
      <c r="N26" s="530"/>
      <c r="O26" s="367">
        <f>SUM(M21:M29)</f>
        <v>2921822715.9300003</v>
      </c>
    </row>
    <row r="27" spans="1:15">
      <c r="A27" s="373">
        <v>25</v>
      </c>
      <c r="B27" s="374">
        <v>2</v>
      </c>
      <c r="C27" s="374">
        <v>2</v>
      </c>
      <c r="D27" s="374">
        <v>99</v>
      </c>
      <c r="E27" s="374">
        <v>1107</v>
      </c>
      <c r="F27" s="374">
        <v>2501010372</v>
      </c>
      <c r="G27" s="374" t="s">
        <v>815</v>
      </c>
      <c r="H27" s="374" t="s">
        <v>759</v>
      </c>
      <c r="I27" s="379">
        <v>35969</v>
      </c>
      <c r="J27" s="376">
        <v>234516782.27000001</v>
      </c>
      <c r="K27" s="376">
        <v>1612431.25</v>
      </c>
      <c r="L27" s="376">
        <v>0</v>
      </c>
      <c r="M27" s="376">
        <f t="shared" si="0"/>
        <v>236129213.52000001</v>
      </c>
      <c r="N27" s="530"/>
    </row>
    <row r="28" spans="1:15">
      <c r="A28" s="373">
        <v>26</v>
      </c>
      <c r="B28" s="374">
        <v>2</v>
      </c>
      <c r="C28" s="374">
        <v>2</v>
      </c>
      <c r="D28" s="374">
        <v>99</v>
      </c>
      <c r="E28" s="374">
        <v>1107</v>
      </c>
      <c r="F28" s="374">
        <v>2501010373</v>
      </c>
      <c r="G28" s="378" t="s">
        <v>816</v>
      </c>
      <c r="H28" s="374" t="s">
        <v>759</v>
      </c>
      <c r="I28" s="379">
        <v>36097</v>
      </c>
      <c r="J28" s="376">
        <v>231872789.74000001</v>
      </c>
      <c r="K28" s="376">
        <v>1594252.35</v>
      </c>
      <c r="L28" s="376">
        <v>0</v>
      </c>
      <c r="M28" s="376">
        <f t="shared" si="0"/>
        <v>233467042.09</v>
      </c>
      <c r="N28" s="530"/>
    </row>
    <row r="29" spans="1:15">
      <c r="A29" s="373">
        <v>27</v>
      </c>
      <c r="B29" s="374">
        <v>2</v>
      </c>
      <c r="C29" s="374">
        <v>2</v>
      </c>
      <c r="D29" s="374">
        <v>99</v>
      </c>
      <c r="E29" s="374">
        <v>1107</v>
      </c>
      <c r="F29" s="374">
        <v>2501010377</v>
      </c>
      <c r="G29" s="374" t="s">
        <v>817</v>
      </c>
      <c r="H29" s="374" t="s">
        <v>759</v>
      </c>
      <c r="I29" s="379">
        <v>36249</v>
      </c>
      <c r="J29" s="376">
        <v>240418861.58000001</v>
      </c>
      <c r="K29" s="376">
        <v>1653011.27</v>
      </c>
      <c r="L29" s="376">
        <v>0</v>
      </c>
      <c r="M29" s="376">
        <f t="shared" si="0"/>
        <v>242071872.85000002</v>
      </c>
      <c r="N29" s="531"/>
    </row>
    <row r="30" spans="1:15">
      <c r="O30" s="367">
        <f>SUM(O18:O26)</f>
        <v>2922154787.9300003</v>
      </c>
    </row>
    <row r="32" spans="1:15">
      <c r="G32" s="332" t="s">
        <v>589</v>
      </c>
      <c r="H32" s="332"/>
      <c r="I32" s="332"/>
      <c r="J32" s="332"/>
      <c r="K32" s="349">
        <f>SUM(M3:M29)</f>
        <v>2923553467.9300003</v>
      </c>
    </row>
    <row r="33" spans="7:11">
      <c r="G33" s="351" t="s">
        <v>751</v>
      </c>
      <c r="H33" s="332"/>
      <c r="I33" s="332"/>
      <c r="J33" s="332"/>
      <c r="K33" s="370">
        <f>M20+M19+M16+M15+M14+M13+M13+M12+M11+M10+M9+M8+M7+M6+M5+M4+M3</f>
        <v>1398681</v>
      </c>
    </row>
    <row r="34" spans="7:11">
      <c r="G34" s="332" t="s">
        <v>752</v>
      </c>
      <c r="H34" s="332"/>
      <c r="I34" s="332"/>
      <c r="J34" s="332"/>
      <c r="K34" s="352">
        <v>2922154787.9300003</v>
      </c>
    </row>
  </sheetData>
  <mergeCells count="2">
    <mergeCell ref="A1:N1"/>
    <mergeCell ref="N21:N29"/>
  </mergeCells>
  <printOptions horizontalCentered="1" verticalCentered="1"/>
  <pageMargins left="0.11811023622047245" right="0.11811023622047245" top="0.15748031496062992" bottom="0.15748031496062992" header="0" footer="0"/>
  <pageSetup paperSize="9" scale="96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42"/>
  <sheetViews>
    <sheetView topLeftCell="A17" workbookViewId="0">
      <selection sqref="A1:N40"/>
    </sheetView>
  </sheetViews>
  <sheetFormatPr defaultRowHeight="15"/>
  <cols>
    <col min="1" max="1" width="6.6640625" style="192" bestFit="1" customWidth="1"/>
    <col min="2" max="2" width="5.33203125" style="192" hidden="1" customWidth="1"/>
    <col min="3" max="3" width="9.83203125" style="192" hidden="1" customWidth="1"/>
    <col min="4" max="4" width="4.33203125" style="192" hidden="1" customWidth="1"/>
    <col min="5" max="5" width="8.6640625" style="192" hidden="1" customWidth="1"/>
    <col min="6" max="6" width="12.6640625" style="192" customWidth="1"/>
    <col min="7" max="7" width="70.6640625" style="192" customWidth="1"/>
    <col min="8" max="8" width="7.5" style="192" hidden="1" customWidth="1"/>
    <col min="9" max="9" width="11.83203125" style="192" hidden="1" customWidth="1"/>
    <col min="10" max="10" width="17.1640625" style="192" customWidth="1"/>
    <col min="11" max="11" width="15" style="192" customWidth="1"/>
    <col min="12" max="12" width="16.83203125" style="192" customWidth="1"/>
    <col min="13" max="13" width="16.6640625" style="192" customWidth="1"/>
    <col min="14" max="14" width="19.33203125" style="192" bestFit="1" customWidth="1"/>
    <col min="15" max="16384" width="9.33203125" style="192"/>
  </cols>
  <sheetData>
    <row r="1" spans="1:14" ht="18.75">
      <c r="A1" s="532" t="s">
        <v>844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</row>
    <row r="2" spans="1:14" s="372" customFormat="1" ht="38.25">
      <c r="A2" s="380" t="s">
        <v>845</v>
      </c>
      <c r="B2" s="334" t="s">
        <v>195</v>
      </c>
      <c r="C2" s="334" t="s">
        <v>716</v>
      </c>
      <c r="D2" s="381" t="s">
        <v>819</v>
      </c>
      <c r="E2" s="334" t="s">
        <v>717</v>
      </c>
      <c r="F2" s="334" t="s">
        <v>718</v>
      </c>
      <c r="G2" s="334" t="s">
        <v>719</v>
      </c>
      <c r="H2" s="381" t="s">
        <v>820</v>
      </c>
      <c r="I2" s="381" t="s">
        <v>756</v>
      </c>
      <c r="J2" s="357" t="s">
        <v>720</v>
      </c>
      <c r="K2" s="357" t="s">
        <v>721</v>
      </c>
      <c r="L2" s="357" t="s">
        <v>722</v>
      </c>
      <c r="M2" s="357" t="s">
        <v>723</v>
      </c>
      <c r="N2" s="382" t="s">
        <v>51</v>
      </c>
    </row>
    <row r="3" spans="1:14">
      <c r="A3" s="373">
        <v>1</v>
      </c>
      <c r="B3" s="383">
        <v>2</v>
      </c>
      <c r="C3" s="383">
        <v>2</v>
      </c>
      <c r="D3" s="383">
        <v>56</v>
      </c>
      <c r="E3" s="383">
        <v>1107</v>
      </c>
      <c r="F3" s="383">
        <v>2545481236</v>
      </c>
      <c r="G3" s="383" t="s">
        <v>846</v>
      </c>
      <c r="H3" s="383" t="s">
        <v>759</v>
      </c>
      <c r="I3" s="384" t="s">
        <v>847</v>
      </c>
      <c r="J3" s="385">
        <v>1805622</v>
      </c>
      <c r="K3" s="385"/>
      <c r="L3" s="385"/>
      <c r="M3" s="385">
        <v>1805622</v>
      </c>
      <c r="N3" s="337" t="s">
        <v>727</v>
      </c>
    </row>
    <row r="4" spans="1:14">
      <c r="A4" s="373">
        <v>2</v>
      </c>
      <c r="B4" s="383">
        <v>2</v>
      </c>
      <c r="C4" s="383">
        <v>2</v>
      </c>
      <c r="D4" s="383">
        <v>56</v>
      </c>
      <c r="E4" s="383">
        <v>1107</v>
      </c>
      <c r="F4" s="383">
        <v>2545481237</v>
      </c>
      <c r="G4" s="386" t="s">
        <v>848</v>
      </c>
      <c r="H4" s="383" t="s">
        <v>759</v>
      </c>
      <c r="I4" s="384" t="s">
        <v>849</v>
      </c>
      <c r="J4" s="385">
        <v>831759</v>
      </c>
      <c r="K4" s="385"/>
      <c r="L4" s="385"/>
      <c r="M4" s="385">
        <v>831759</v>
      </c>
      <c r="N4" s="337" t="s">
        <v>727</v>
      </c>
    </row>
    <row r="5" spans="1:14">
      <c r="A5" s="373">
        <v>3</v>
      </c>
      <c r="B5" s="383">
        <v>2</v>
      </c>
      <c r="C5" s="383">
        <v>2</v>
      </c>
      <c r="D5" s="383">
        <v>56</v>
      </c>
      <c r="E5" s="383">
        <v>1107</v>
      </c>
      <c r="F5" s="383">
        <v>2545481238</v>
      </c>
      <c r="G5" s="386" t="s">
        <v>848</v>
      </c>
      <c r="H5" s="383" t="s">
        <v>759</v>
      </c>
      <c r="I5" s="384" t="s">
        <v>850</v>
      </c>
      <c r="J5" s="385">
        <v>831760</v>
      </c>
      <c r="K5" s="385"/>
      <c r="L5" s="385"/>
      <c r="M5" s="385">
        <v>831760</v>
      </c>
      <c r="N5" s="337" t="s">
        <v>727</v>
      </c>
    </row>
    <row r="6" spans="1:14">
      <c r="A6" s="373">
        <v>4</v>
      </c>
      <c r="B6" s="383">
        <v>2</v>
      </c>
      <c r="C6" s="383">
        <v>2</v>
      </c>
      <c r="D6" s="383">
        <v>56</v>
      </c>
      <c r="E6" s="383">
        <v>1107</v>
      </c>
      <c r="F6" s="383">
        <v>2545530450</v>
      </c>
      <c r="G6" s="386" t="s">
        <v>851</v>
      </c>
      <c r="H6" s="383" t="s">
        <v>759</v>
      </c>
      <c r="I6" s="384" t="s">
        <v>852</v>
      </c>
      <c r="J6" s="385">
        <v>592500</v>
      </c>
      <c r="K6" s="385"/>
      <c r="L6" s="385"/>
      <c r="M6" s="385">
        <v>592500</v>
      </c>
      <c r="N6" s="337" t="s">
        <v>727</v>
      </c>
    </row>
    <row r="7" spans="1:14">
      <c r="A7" s="373">
        <v>5</v>
      </c>
      <c r="B7" s="383">
        <v>2</v>
      </c>
      <c r="C7" s="383">
        <v>2</v>
      </c>
      <c r="D7" s="383">
        <v>56</v>
      </c>
      <c r="E7" s="383">
        <v>1107</v>
      </c>
      <c r="F7" s="383">
        <v>2545602589</v>
      </c>
      <c r="G7" s="386" t="s">
        <v>853</v>
      </c>
      <c r="H7" s="383" t="s">
        <v>759</v>
      </c>
      <c r="I7" s="384" t="s">
        <v>854</v>
      </c>
      <c r="J7" s="385">
        <v>469029</v>
      </c>
      <c r="K7" s="385"/>
      <c r="L7" s="385"/>
      <c r="M7" s="385">
        <v>469029</v>
      </c>
      <c r="N7" s="337" t="s">
        <v>727</v>
      </c>
    </row>
    <row r="8" spans="1:14">
      <c r="A8" s="373">
        <v>6</v>
      </c>
      <c r="B8" s="383">
        <v>2</v>
      </c>
      <c r="C8" s="383">
        <v>2</v>
      </c>
      <c r="D8" s="383">
        <v>56</v>
      </c>
      <c r="E8" s="383">
        <v>1107</v>
      </c>
      <c r="F8" s="383">
        <v>2545602590</v>
      </c>
      <c r="G8" s="386" t="s">
        <v>853</v>
      </c>
      <c r="H8" s="383" t="s">
        <v>759</v>
      </c>
      <c r="I8" s="384" t="s">
        <v>855</v>
      </c>
      <c r="J8" s="385">
        <v>469029</v>
      </c>
      <c r="K8" s="385"/>
      <c r="L8" s="385"/>
      <c r="M8" s="385">
        <v>469029</v>
      </c>
      <c r="N8" s="337" t="s">
        <v>727</v>
      </c>
    </row>
    <row r="9" spans="1:14">
      <c r="A9" s="373">
        <v>7</v>
      </c>
      <c r="B9" s="383">
        <v>2</v>
      </c>
      <c r="C9" s="383">
        <v>2</v>
      </c>
      <c r="D9" s="383">
        <v>56</v>
      </c>
      <c r="E9" s="383">
        <v>1107</v>
      </c>
      <c r="F9" s="383">
        <v>2545602591</v>
      </c>
      <c r="G9" s="386" t="s">
        <v>853</v>
      </c>
      <c r="H9" s="383" t="s">
        <v>759</v>
      </c>
      <c r="I9" s="384" t="s">
        <v>856</v>
      </c>
      <c r="J9" s="385">
        <v>469028</v>
      </c>
      <c r="K9" s="385"/>
      <c r="L9" s="385"/>
      <c r="M9" s="385">
        <v>469028</v>
      </c>
      <c r="N9" s="337" t="s">
        <v>727</v>
      </c>
    </row>
    <row r="10" spans="1:14">
      <c r="A10" s="373">
        <v>8</v>
      </c>
      <c r="B10" s="383">
        <v>2</v>
      </c>
      <c r="C10" s="383">
        <v>2</v>
      </c>
      <c r="D10" s="383">
        <v>56</v>
      </c>
      <c r="E10" s="383">
        <v>1107</v>
      </c>
      <c r="F10" s="383">
        <v>2545602662</v>
      </c>
      <c r="G10" s="386" t="s">
        <v>857</v>
      </c>
      <c r="H10" s="383" t="s">
        <v>759</v>
      </c>
      <c r="I10" s="384" t="s">
        <v>858</v>
      </c>
      <c r="J10" s="385">
        <v>775429</v>
      </c>
      <c r="K10" s="385">
        <v>1758</v>
      </c>
      <c r="L10" s="385"/>
      <c r="M10" s="385">
        <v>777187</v>
      </c>
      <c r="N10" s="337" t="s">
        <v>727</v>
      </c>
    </row>
    <row r="11" spans="1:14">
      <c r="A11" s="373">
        <v>9</v>
      </c>
      <c r="B11" s="383">
        <v>2</v>
      </c>
      <c r="C11" s="383">
        <v>2</v>
      </c>
      <c r="D11" s="383">
        <v>56</v>
      </c>
      <c r="E11" s="383">
        <v>1107</v>
      </c>
      <c r="F11" s="383">
        <v>2565860029</v>
      </c>
      <c r="G11" s="383" t="s">
        <v>859</v>
      </c>
      <c r="H11" s="383" t="s">
        <v>759</v>
      </c>
      <c r="I11" s="387">
        <v>41069</v>
      </c>
      <c r="J11" s="385">
        <v>352800</v>
      </c>
      <c r="K11" s="385"/>
      <c r="L11" s="385"/>
      <c r="M11" s="385">
        <v>352800</v>
      </c>
      <c r="N11" s="337" t="s">
        <v>727</v>
      </c>
    </row>
    <row r="12" spans="1:14">
      <c r="A12" s="373">
        <v>10</v>
      </c>
      <c r="B12" s="383">
        <v>2</v>
      </c>
      <c r="C12" s="383">
        <v>2</v>
      </c>
      <c r="D12" s="383">
        <v>56</v>
      </c>
      <c r="E12" s="383">
        <v>1107</v>
      </c>
      <c r="F12" s="383">
        <v>2565900080</v>
      </c>
      <c r="G12" s="383" t="s">
        <v>860</v>
      </c>
      <c r="H12" s="383" t="s">
        <v>759</v>
      </c>
      <c r="I12" s="384" t="s">
        <v>861</v>
      </c>
      <c r="J12" s="385">
        <v>1237393</v>
      </c>
      <c r="K12" s="385"/>
      <c r="L12" s="385"/>
      <c r="M12" s="385">
        <v>1237393</v>
      </c>
      <c r="N12" s="337" t="s">
        <v>727</v>
      </c>
    </row>
    <row r="13" spans="1:14">
      <c r="A13" s="373">
        <v>11</v>
      </c>
      <c r="B13" s="383">
        <v>2</v>
      </c>
      <c r="C13" s="383">
        <v>2</v>
      </c>
      <c r="D13" s="383">
        <v>56</v>
      </c>
      <c r="E13" s="383">
        <v>1107</v>
      </c>
      <c r="F13" s="383">
        <v>2575911189</v>
      </c>
      <c r="G13" s="383" t="s">
        <v>862</v>
      </c>
      <c r="H13" s="383" t="s">
        <v>759</v>
      </c>
      <c r="I13" s="387">
        <v>40798</v>
      </c>
      <c r="J13" s="385">
        <v>8292</v>
      </c>
      <c r="K13" s="385"/>
      <c r="L13" s="385"/>
      <c r="M13" s="385">
        <v>8292</v>
      </c>
      <c r="N13" s="337" t="s">
        <v>727</v>
      </c>
    </row>
    <row r="14" spans="1:14">
      <c r="A14" s="373">
        <v>12</v>
      </c>
      <c r="B14" s="383">
        <v>2</v>
      </c>
      <c r="C14" s="383">
        <v>2</v>
      </c>
      <c r="D14" s="383">
        <v>56</v>
      </c>
      <c r="E14" s="383">
        <v>1107</v>
      </c>
      <c r="F14" s="383">
        <v>2575950502</v>
      </c>
      <c r="G14" s="386" t="s">
        <v>863</v>
      </c>
      <c r="H14" s="383" t="s">
        <v>759</v>
      </c>
      <c r="I14" s="384" t="s">
        <v>864</v>
      </c>
      <c r="J14" s="385">
        <v>3194194</v>
      </c>
      <c r="K14" s="385"/>
      <c r="L14" s="385"/>
      <c r="M14" s="385">
        <v>3194194</v>
      </c>
      <c r="N14" s="337" t="s">
        <v>727</v>
      </c>
    </row>
    <row r="15" spans="1:14">
      <c r="A15" s="373">
        <v>13</v>
      </c>
      <c r="B15" s="383">
        <v>2</v>
      </c>
      <c r="C15" s="383">
        <v>2</v>
      </c>
      <c r="D15" s="383">
        <v>56</v>
      </c>
      <c r="E15" s="383">
        <v>1109</v>
      </c>
      <c r="F15" s="383">
        <v>1020020180</v>
      </c>
      <c r="G15" s="386" t="s">
        <v>865</v>
      </c>
      <c r="H15" s="383" t="s">
        <v>759</v>
      </c>
      <c r="I15" s="387">
        <v>41163</v>
      </c>
      <c r="J15" s="385">
        <v>803812</v>
      </c>
      <c r="K15" s="385"/>
      <c r="L15" s="385"/>
      <c r="M15" s="385">
        <v>803812</v>
      </c>
      <c r="N15" s="337" t="s">
        <v>727</v>
      </c>
    </row>
    <row r="16" spans="1:14">
      <c r="A16" s="373">
        <v>14</v>
      </c>
      <c r="B16" s="383">
        <v>2</v>
      </c>
      <c r="C16" s="383">
        <v>2</v>
      </c>
      <c r="D16" s="383">
        <v>56</v>
      </c>
      <c r="E16" s="383">
        <v>1115</v>
      </c>
      <c r="F16" s="383">
        <v>7520101074</v>
      </c>
      <c r="G16" s="386" t="s">
        <v>866</v>
      </c>
      <c r="H16" s="383" t="s">
        <v>759</v>
      </c>
      <c r="I16" s="384" t="s">
        <v>867</v>
      </c>
      <c r="J16" s="385">
        <v>75600</v>
      </c>
      <c r="K16" s="385"/>
      <c r="L16" s="385"/>
      <c r="M16" s="385">
        <v>75600</v>
      </c>
      <c r="N16" s="337" t="s">
        <v>727</v>
      </c>
    </row>
    <row r="17" spans="1:14">
      <c r="A17" s="373">
        <v>15</v>
      </c>
      <c r="B17" s="383">
        <v>2</v>
      </c>
      <c r="C17" s="383">
        <v>2</v>
      </c>
      <c r="D17" s="383">
        <v>56</v>
      </c>
      <c r="E17" s="383">
        <v>1115</v>
      </c>
      <c r="F17" s="383">
        <v>7520101075</v>
      </c>
      <c r="G17" s="383" t="s">
        <v>868</v>
      </c>
      <c r="H17" s="383" t="s">
        <v>759</v>
      </c>
      <c r="I17" s="384" t="s">
        <v>869</v>
      </c>
      <c r="J17" s="385">
        <v>57750</v>
      </c>
      <c r="K17" s="385"/>
      <c r="L17" s="385"/>
      <c r="M17" s="385">
        <v>57750</v>
      </c>
      <c r="N17" s="337" t="s">
        <v>727</v>
      </c>
    </row>
    <row r="18" spans="1:14">
      <c r="A18" s="373">
        <v>16</v>
      </c>
      <c r="B18" s="383">
        <v>2</v>
      </c>
      <c r="C18" s="383">
        <v>2</v>
      </c>
      <c r="D18" s="383">
        <v>56</v>
      </c>
      <c r="E18" s="383">
        <v>1115</v>
      </c>
      <c r="F18" s="383">
        <v>7520101086</v>
      </c>
      <c r="G18" s="386" t="s">
        <v>870</v>
      </c>
      <c r="H18" s="383" t="s">
        <v>759</v>
      </c>
      <c r="I18" s="387">
        <v>41223</v>
      </c>
      <c r="J18" s="385">
        <v>113120</v>
      </c>
      <c r="K18" s="385"/>
      <c r="L18" s="385"/>
      <c r="M18" s="385">
        <v>113120</v>
      </c>
      <c r="N18" s="337" t="s">
        <v>727</v>
      </c>
    </row>
    <row r="19" spans="1:14">
      <c r="A19" s="373">
        <v>17</v>
      </c>
      <c r="B19" s="383">
        <v>2</v>
      </c>
      <c r="C19" s="383">
        <v>2</v>
      </c>
      <c r="D19" s="383">
        <v>56</v>
      </c>
      <c r="E19" s="383">
        <v>1115</v>
      </c>
      <c r="F19" s="383">
        <v>7520101087</v>
      </c>
      <c r="G19" s="383" t="s">
        <v>871</v>
      </c>
      <c r="H19" s="383" t="s">
        <v>759</v>
      </c>
      <c r="I19" s="387">
        <v>41223</v>
      </c>
      <c r="J19" s="385">
        <v>12937</v>
      </c>
      <c r="K19" s="385"/>
      <c r="L19" s="385"/>
      <c r="M19" s="385">
        <v>12937</v>
      </c>
      <c r="N19" s="337" t="s">
        <v>727</v>
      </c>
    </row>
    <row r="20" spans="1:14">
      <c r="A20" s="373">
        <v>18</v>
      </c>
      <c r="B20" s="383">
        <v>2</v>
      </c>
      <c r="C20" s="383">
        <v>2</v>
      </c>
      <c r="D20" s="383">
        <v>56</v>
      </c>
      <c r="E20" s="383">
        <v>1115</v>
      </c>
      <c r="F20" s="383">
        <v>7520101107</v>
      </c>
      <c r="G20" s="386" t="s">
        <v>872</v>
      </c>
      <c r="H20" s="383" t="s">
        <v>759</v>
      </c>
      <c r="I20" s="384" t="s">
        <v>873</v>
      </c>
      <c r="J20" s="385">
        <v>190140</v>
      </c>
      <c r="K20" s="385"/>
      <c r="L20" s="385"/>
      <c r="M20" s="385">
        <v>190140</v>
      </c>
      <c r="N20" s="337" t="s">
        <v>727</v>
      </c>
    </row>
    <row r="21" spans="1:14">
      <c r="A21" s="373">
        <v>19</v>
      </c>
      <c r="B21" s="383">
        <v>2</v>
      </c>
      <c r="C21" s="383">
        <v>2</v>
      </c>
      <c r="D21" s="383">
        <v>56</v>
      </c>
      <c r="E21" s="383">
        <v>1115</v>
      </c>
      <c r="F21" s="383">
        <v>7520101108</v>
      </c>
      <c r="G21" s="386" t="s">
        <v>874</v>
      </c>
      <c r="H21" s="383" t="s">
        <v>759</v>
      </c>
      <c r="I21" s="384" t="s">
        <v>873</v>
      </c>
      <c r="J21" s="385">
        <v>95070</v>
      </c>
      <c r="K21" s="385"/>
      <c r="L21" s="385"/>
      <c r="M21" s="385">
        <v>95070</v>
      </c>
      <c r="N21" s="337" t="s">
        <v>727</v>
      </c>
    </row>
    <row r="22" spans="1:14">
      <c r="A22" s="373">
        <v>20</v>
      </c>
      <c r="B22" s="383">
        <v>2</v>
      </c>
      <c r="C22" s="383">
        <v>2</v>
      </c>
      <c r="D22" s="383">
        <v>56</v>
      </c>
      <c r="E22" s="383">
        <v>1116</v>
      </c>
      <c r="F22" s="383">
        <v>7520151067</v>
      </c>
      <c r="G22" s="386" t="s">
        <v>875</v>
      </c>
      <c r="H22" s="383" t="s">
        <v>759</v>
      </c>
      <c r="I22" s="384" t="s">
        <v>864</v>
      </c>
      <c r="J22" s="385">
        <v>15800</v>
      </c>
      <c r="K22" s="385"/>
      <c r="L22" s="385"/>
      <c r="M22" s="385">
        <v>15800</v>
      </c>
      <c r="N22" s="365" t="s">
        <v>725</v>
      </c>
    </row>
    <row r="23" spans="1:14">
      <c r="A23" s="373">
        <v>21</v>
      </c>
      <c r="B23" s="383">
        <v>2</v>
      </c>
      <c r="C23" s="383">
        <v>2</v>
      </c>
      <c r="D23" s="383">
        <v>56</v>
      </c>
      <c r="E23" s="383">
        <v>1116</v>
      </c>
      <c r="F23" s="383">
        <v>7520151068</v>
      </c>
      <c r="G23" s="386" t="s">
        <v>876</v>
      </c>
      <c r="H23" s="383" t="s">
        <v>759</v>
      </c>
      <c r="I23" s="384" t="s">
        <v>877</v>
      </c>
      <c r="J23" s="385">
        <v>62000</v>
      </c>
      <c r="K23" s="385"/>
      <c r="L23" s="385"/>
      <c r="M23" s="385">
        <v>62000</v>
      </c>
      <c r="N23" s="365" t="s">
        <v>725</v>
      </c>
    </row>
    <row r="24" spans="1:14">
      <c r="A24" s="373">
        <v>22</v>
      </c>
      <c r="B24" s="383">
        <v>2</v>
      </c>
      <c r="C24" s="383">
        <v>2</v>
      </c>
      <c r="D24" s="383">
        <v>56</v>
      </c>
      <c r="E24" s="383">
        <v>1116</v>
      </c>
      <c r="F24" s="383">
        <v>7520151079</v>
      </c>
      <c r="G24" s="383" t="s">
        <v>878</v>
      </c>
      <c r="H24" s="383" t="s">
        <v>759</v>
      </c>
      <c r="I24" s="387">
        <v>40919</v>
      </c>
      <c r="J24" s="385">
        <v>67200</v>
      </c>
      <c r="K24" s="385"/>
      <c r="L24" s="385"/>
      <c r="M24" s="385">
        <v>67200</v>
      </c>
      <c r="N24" s="365" t="s">
        <v>725</v>
      </c>
    </row>
    <row r="25" spans="1:14">
      <c r="A25" s="373">
        <v>23</v>
      </c>
      <c r="B25" s="383">
        <v>2</v>
      </c>
      <c r="C25" s="383">
        <v>2</v>
      </c>
      <c r="D25" s="383">
        <v>56</v>
      </c>
      <c r="E25" s="383">
        <v>1122</v>
      </c>
      <c r="F25" s="383">
        <v>7520451112</v>
      </c>
      <c r="G25" s="386" t="s">
        <v>879</v>
      </c>
      <c r="H25" s="383" t="s">
        <v>759</v>
      </c>
      <c r="I25" s="384" t="s">
        <v>880</v>
      </c>
      <c r="J25" s="385">
        <v>52725</v>
      </c>
      <c r="K25" s="385"/>
      <c r="L25" s="385"/>
      <c r="M25" s="385">
        <v>52725</v>
      </c>
      <c r="N25" s="337" t="s">
        <v>727</v>
      </c>
    </row>
    <row r="26" spans="1:14">
      <c r="A26" s="373">
        <v>24</v>
      </c>
      <c r="B26" s="383">
        <v>2</v>
      </c>
      <c r="C26" s="383">
        <v>2</v>
      </c>
      <c r="D26" s="383">
        <v>56</v>
      </c>
      <c r="E26" s="383">
        <v>1129</v>
      </c>
      <c r="F26" s="383">
        <v>9020350175</v>
      </c>
      <c r="G26" s="383" t="s">
        <v>881</v>
      </c>
      <c r="H26" s="383" t="s">
        <v>759</v>
      </c>
      <c r="I26" s="384" t="s">
        <v>877</v>
      </c>
      <c r="J26" s="385">
        <v>41895</v>
      </c>
      <c r="K26" s="385"/>
      <c r="L26" s="385"/>
      <c r="M26" s="385">
        <v>41895</v>
      </c>
      <c r="N26" s="365" t="s">
        <v>725</v>
      </c>
    </row>
    <row r="27" spans="1:14">
      <c r="A27" s="373">
        <v>25</v>
      </c>
      <c r="B27" s="383">
        <v>2</v>
      </c>
      <c r="C27" s="383">
        <v>2</v>
      </c>
      <c r="D27" s="383">
        <v>95</v>
      </c>
      <c r="E27" s="383">
        <v>1129</v>
      </c>
      <c r="F27" s="383">
        <v>9030011436</v>
      </c>
      <c r="G27" s="386" t="s">
        <v>882</v>
      </c>
      <c r="H27" s="383" t="s">
        <v>759</v>
      </c>
      <c r="I27" s="384" t="s">
        <v>883</v>
      </c>
      <c r="J27" s="385">
        <v>21600</v>
      </c>
      <c r="K27" s="385"/>
      <c r="L27" s="385"/>
      <c r="M27" s="385">
        <v>21600</v>
      </c>
      <c r="N27" s="337" t="s">
        <v>727</v>
      </c>
    </row>
    <row r="28" spans="1:14">
      <c r="A28" s="373">
        <v>26</v>
      </c>
      <c r="B28" s="386">
        <v>2</v>
      </c>
      <c r="C28" s="386">
        <v>2</v>
      </c>
      <c r="D28" s="386">
        <v>63</v>
      </c>
      <c r="E28" s="386">
        <v>1104</v>
      </c>
      <c r="F28" s="388">
        <v>1020060031</v>
      </c>
      <c r="G28" s="386" t="s">
        <v>884</v>
      </c>
      <c r="H28" s="386" t="s">
        <v>759</v>
      </c>
      <c r="I28" s="387">
        <v>35976</v>
      </c>
      <c r="J28" s="389">
        <v>11250134.35</v>
      </c>
      <c r="K28" s="389">
        <v>0</v>
      </c>
      <c r="L28" s="389">
        <v>293121</v>
      </c>
      <c r="M28" s="389">
        <f t="shared" ref="M28:M37" si="0">J28+K28-L28</f>
        <v>10957013.35</v>
      </c>
      <c r="N28" s="337" t="s">
        <v>727</v>
      </c>
    </row>
    <row r="29" spans="1:14">
      <c r="A29" s="373">
        <v>27</v>
      </c>
      <c r="B29" s="386">
        <v>2</v>
      </c>
      <c r="C29" s="386">
        <v>2</v>
      </c>
      <c r="D29" s="386">
        <v>63</v>
      </c>
      <c r="E29" s="386">
        <v>1107</v>
      </c>
      <c r="F29" s="388">
        <v>2501010363</v>
      </c>
      <c r="G29" s="386" t="s">
        <v>809</v>
      </c>
      <c r="H29" s="386" t="s">
        <v>759</v>
      </c>
      <c r="I29" s="387">
        <v>34538</v>
      </c>
      <c r="J29" s="389">
        <v>261733298.75</v>
      </c>
      <c r="K29" s="389">
        <v>2492234</v>
      </c>
      <c r="L29" s="389">
        <v>2049474.48</v>
      </c>
      <c r="M29" s="389">
        <f t="shared" si="0"/>
        <v>262176058.27000001</v>
      </c>
      <c r="N29" s="529" t="s">
        <v>749</v>
      </c>
    </row>
    <row r="30" spans="1:14">
      <c r="A30" s="373">
        <v>28</v>
      </c>
      <c r="B30" s="386">
        <v>2</v>
      </c>
      <c r="C30" s="386">
        <v>2</v>
      </c>
      <c r="D30" s="386">
        <v>63</v>
      </c>
      <c r="E30" s="386">
        <v>1107</v>
      </c>
      <c r="F30" s="388">
        <v>2501010364</v>
      </c>
      <c r="G30" s="386" t="s">
        <v>810</v>
      </c>
      <c r="H30" s="386" t="s">
        <v>759</v>
      </c>
      <c r="I30" s="387">
        <v>34607</v>
      </c>
      <c r="J30" s="389">
        <v>574836516.12</v>
      </c>
      <c r="K30" s="389">
        <v>5473548</v>
      </c>
      <c r="L30" s="389">
        <v>4501196.66</v>
      </c>
      <c r="M30" s="389">
        <f t="shared" si="0"/>
        <v>575808867.46000004</v>
      </c>
      <c r="N30" s="530"/>
    </row>
    <row r="31" spans="1:14">
      <c r="A31" s="373">
        <v>29</v>
      </c>
      <c r="B31" s="386">
        <v>2</v>
      </c>
      <c r="C31" s="386">
        <v>2</v>
      </c>
      <c r="D31" s="386">
        <v>63</v>
      </c>
      <c r="E31" s="386">
        <v>1107</v>
      </c>
      <c r="F31" s="388">
        <v>2501010365</v>
      </c>
      <c r="G31" s="386" t="s">
        <v>811</v>
      </c>
      <c r="H31" s="386" t="s">
        <v>759</v>
      </c>
      <c r="I31" s="387">
        <v>35212</v>
      </c>
      <c r="J31" s="389">
        <v>245862429.30000001</v>
      </c>
      <c r="K31" s="389">
        <v>2341082</v>
      </c>
      <c r="L31" s="389">
        <v>1925199.81</v>
      </c>
      <c r="M31" s="389">
        <f t="shared" si="0"/>
        <v>246278311.49000001</v>
      </c>
      <c r="N31" s="530"/>
    </row>
    <row r="32" spans="1:14">
      <c r="A32" s="373">
        <v>30</v>
      </c>
      <c r="B32" s="386">
        <v>2</v>
      </c>
      <c r="C32" s="386">
        <v>2</v>
      </c>
      <c r="D32" s="386">
        <v>63</v>
      </c>
      <c r="E32" s="386">
        <v>1107</v>
      </c>
      <c r="F32" s="388">
        <v>2501010366</v>
      </c>
      <c r="G32" s="386" t="s">
        <v>812</v>
      </c>
      <c r="H32" s="386" t="s">
        <v>759</v>
      </c>
      <c r="I32" s="390">
        <v>35165</v>
      </c>
      <c r="J32" s="389">
        <v>476213823.44999999</v>
      </c>
      <c r="K32" s="389">
        <v>4534470</v>
      </c>
      <c r="L32" s="389">
        <v>3728942.48</v>
      </c>
      <c r="M32" s="389">
        <f t="shared" si="0"/>
        <v>477019350.96999997</v>
      </c>
      <c r="N32" s="530"/>
    </row>
    <row r="33" spans="1:14">
      <c r="A33" s="373">
        <v>31</v>
      </c>
      <c r="B33" s="386">
        <v>2</v>
      </c>
      <c r="C33" s="386">
        <v>2</v>
      </c>
      <c r="D33" s="386">
        <v>63</v>
      </c>
      <c r="E33" s="386">
        <v>1107</v>
      </c>
      <c r="F33" s="388">
        <v>2501010367</v>
      </c>
      <c r="G33" s="386" t="s">
        <v>813</v>
      </c>
      <c r="H33" s="386" t="s">
        <v>759</v>
      </c>
      <c r="I33" s="390">
        <v>35771</v>
      </c>
      <c r="J33" s="389">
        <v>233320127.80000001</v>
      </c>
      <c r="K33" s="389">
        <v>2221656</v>
      </c>
      <c r="L33" s="389">
        <v>1826988.5</v>
      </c>
      <c r="M33" s="389">
        <f t="shared" si="0"/>
        <v>233714795.30000001</v>
      </c>
      <c r="N33" s="530"/>
    </row>
    <row r="34" spans="1:14">
      <c r="A34" s="373">
        <v>32</v>
      </c>
      <c r="B34" s="386">
        <v>2</v>
      </c>
      <c r="C34" s="386">
        <v>2</v>
      </c>
      <c r="D34" s="386">
        <v>63</v>
      </c>
      <c r="E34" s="386">
        <v>1107</v>
      </c>
      <c r="F34" s="388">
        <v>2501010368</v>
      </c>
      <c r="G34" s="386" t="s">
        <v>814</v>
      </c>
      <c r="H34" s="386" t="s">
        <v>759</v>
      </c>
      <c r="I34" s="390">
        <v>35723</v>
      </c>
      <c r="J34" s="389">
        <v>418188392.05000001</v>
      </c>
      <c r="K34" s="389">
        <v>3981956</v>
      </c>
      <c r="L34" s="389">
        <v>3274580.48</v>
      </c>
      <c r="M34" s="389">
        <f t="shared" si="0"/>
        <v>418895767.56999999</v>
      </c>
      <c r="N34" s="530"/>
    </row>
    <row r="35" spans="1:14">
      <c r="A35" s="373">
        <v>33</v>
      </c>
      <c r="B35" s="386">
        <v>2</v>
      </c>
      <c r="C35" s="386">
        <v>2</v>
      </c>
      <c r="D35" s="386">
        <v>63</v>
      </c>
      <c r="E35" s="386">
        <v>1107</v>
      </c>
      <c r="F35" s="388">
        <v>2501010372</v>
      </c>
      <c r="G35" s="386" t="s">
        <v>815</v>
      </c>
      <c r="H35" s="386" t="s">
        <v>759</v>
      </c>
      <c r="I35" s="390">
        <v>35969</v>
      </c>
      <c r="J35" s="389">
        <v>236129213.52000001</v>
      </c>
      <c r="K35" s="389">
        <v>2248404</v>
      </c>
      <c r="L35" s="389">
        <v>1848985.29</v>
      </c>
      <c r="M35" s="389">
        <f t="shared" si="0"/>
        <v>236528632.23000002</v>
      </c>
      <c r="N35" s="530"/>
    </row>
    <row r="36" spans="1:14">
      <c r="A36" s="373">
        <v>34</v>
      </c>
      <c r="B36" s="386">
        <v>2</v>
      </c>
      <c r="C36" s="386">
        <v>2</v>
      </c>
      <c r="D36" s="386">
        <v>63</v>
      </c>
      <c r="E36" s="386">
        <v>1107</v>
      </c>
      <c r="F36" s="388">
        <v>2501010373</v>
      </c>
      <c r="G36" s="386" t="s">
        <v>816</v>
      </c>
      <c r="H36" s="386" t="s">
        <v>759</v>
      </c>
      <c r="I36" s="390">
        <v>36097</v>
      </c>
      <c r="J36" s="389">
        <v>233467042.09</v>
      </c>
      <c r="K36" s="389">
        <v>2223055</v>
      </c>
      <c r="L36" s="389">
        <v>1828139.11</v>
      </c>
      <c r="M36" s="389">
        <f t="shared" si="0"/>
        <v>233861957.97999999</v>
      </c>
      <c r="N36" s="530"/>
    </row>
    <row r="37" spans="1:14">
      <c r="A37" s="373">
        <v>35</v>
      </c>
      <c r="B37" s="386">
        <v>2</v>
      </c>
      <c r="C37" s="386">
        <v>2</v>
      </c>
      <c r="D37" s="386">
        <v>63</v>
      </c>
      <c r="E37" s="386">
        <v>1107</v>
      </c>
      <c r="F37" s="388">
        <v>2501010377</v>
      </c>
      <c r="G37" s="386" t="s">
        <v>817</v>
      </c>
      <c r="H37" s="386" t="s">
        <v>759</v>
      </c>
      <c r="I37" s="390">
        <v>36249</v>
      </c>
      <c r="J37" s="389">
        <v>242071872.84999999</v>
      </c>
      <c r="K37" s="389">
        <v>2304989</v>
      </c>
      <c r="L37" s="389">
        <v>1895518.5</v>
      </c>
      <c r="M37" s="389">
        <f t="shared" si="0"/>
        <v>242481343.34999999</v>
      </c>
      <c r="N37" s="531"/>
    </row>
    <row r="40" spans="1:14">
      <c r="G40" s="332" t="s">
        <v>589</v>
      </c>
      <c r="H40" s="332"/>
      <c r="I40" s="332"/>
      <c r="J40" s="332"/>
      <c r="K40" s="349">
        <f>SUM(M3:M37)</f>
        <v>2950370339.9700003</v>
      </c>
    </row>
    <row r="41" spans="1:14">
      <c r="G41" s="351" t="s">
        <v>751</v>
      </c>
      <c r="H41" s="332"/>
      <c r="I41" s="332"/>
      <c r="J41" s="332"/>
      <c r="K41" s="370">
        <f>SUM(M27:M28)+M25+M21+M20+M19+M18+M17+M16+M15+M14+M13+M12+M11+M10+M9+M8+M7+M6+M5+M4+M3</f>
        <v>23418360.350000001</v>
      </c>
    </row>
    <row r="42" spans="1:14">
      <c r="G42" s="332" t="s">
        <v>752</v>
      </c>
      <c r="H42" s="332"/>
      <c r="I42" s="332"/>
      <c r="J42" s="332"/>
      <c r="K42" s="352">
        <f>SUM(M29:M37)+M26+M24+M23+M22</f>
        <v>2926951979.6199999</v>
      </c>
    </row>
  </sheetData>
  <mergeCells count="2">
    <mergeCell ref="A1:N1"/>
    <mergeCell ref="N29:N37"/>
  </mergeCells>
  <printOptions horizontalCentered="1"/>
  <pageMargins left="7.874015748031496E-2" right="7.874015748031496E-2" top="0.19685039370078741" bottom="0.19685039370078741" header="0" footer="0"/>
  <pageSetup paperSize="9" scale="92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38"/>
  <sheetViews>
    <sheetView topLeftCell="A17" workbookViewId="0">
      <selection sqref="A1:R34"/>
    </sheetView>
  </sheetViews>
  <sheetFormatPr defaultRowHeight="15"/>
  <cols>
    <col min="1" max="1" width="6.6640625" style="192" bestFit="1" customWidth="1"/>
    <col min="2" max="5" width="0" style="192" hidden="1" customWidth="1"/>
    <col min="6" max="6" width="12.6640625" style="192" customWidth="1"/>
    <col min="7" max="7" width="67.6640625" style="192" customWidth="1"/>
    <col min="8" max="8" width="0" style="192" hidden="1" customWidth="1"/>
    <col min="9" max="9" width="17.5" style="192" hidden="1" customWidth="1"/>
    <col min="10" max="10" width="20.33203125" style="192" customWidth="1"/>
    <col min="11" max="11" width="12.33203125" style="192" bestFit="1" customWidth="1"/>
    <col min="12" max="12" width="12.1640625" style="192" customWidth="1"/>
    <col min="13" max="13" width="14" style="192" customWidth="1"/>
    <col min="14" max="17" width="0" style="192" hidden="1" customWidth="1"/>
    <col min="18" max="18" width="19.33203125" style="192" bestFit="1" customWidth="1"/>
    <col min="19" max="16384" width="9.33203125" style="192"/>
  </cols>
  <sheetData>
    <row r="1" spans="1:18" ht="18.75">
      <c r="A1" s="532" t="s">
        <v>885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</row>
    <row r="2" spans="1:18" ht="38.25">
      <c r="A2" s="380" t="s">
        <v>845</v>
      </c>
      <c r="B2" s="391" t="s">
        <v>195</v>
      </c>
      <c r="C2" s="391" t="s">
        <v>886</v>
      </c>
      <c r="D2" s="391" t="s">
        <v>887</v>
      </c>
      <c r="E2" s="391" t="s">
        <v>717</v>
      </c>
      <c r="F2" s="334" t="s">
        <v>718</v>
      </c>
      <c r="G2" s="334" t="s">
        <v>719</v>
      </c>
      <c r="H2" s="391" t="s">
        <v>755</v>
      </c>
      <c r="I2" s="391" t="s">
        <v>756</v>
      </c>
      <c r="J2" s="357" t="s">
        <v>720</v>
      </c>
      <c r="K2" s="357" t="s">
        <v>721</v>
      </c>
      <c r="L2" s="357" t="s">
        <v>722</v>
      </c>
      <c r="M2" s="357" t="s">
        <v>723</v>
      </c>
      <c r="N2" s="391" t="s">
        <v>888</v>
      </c>
      <c r="O2" s="391" t="s">
        <v>889</v>
      </c>
      <c r="P2" s="391" t="s">
        <v>890</v>
      </c>
      <c r="Q2" s="391" t="s">
        <v>891</v>
      </c>
      <c r="R2" s="382" t="s">
        <v>51</v>
      </c>
    </row>
    <row r="3" spans="1:18">
      <c r="A3" s="373">
        <v>1</v>
      </c>
      <c r="B3" s="391">
        <v>2</v>
      </c>
      <c r="C3" s="391">
        <v>2</v>
      </c>
      <c r="D3" s="391">
        <v>53</v>
      </c>
      <c r="E3" s="391">
        <v>1107</v>
      </c>
      <c r="F3" s="391">
        <v>2540460909</v>
      </c>
      <c r="G3" s="391" t="s">
        <v>892</v>
      </c>
      <c r="H3" s="391" t="s">
        <v>759</v>
      </c>
      <c r="I3" s="392" t="s">
        <v>893</v>
      </c>
      <c r="J3" s="393">
        <v>48737</v>
      </c>
      <c r="K3" s="393"/>
      <c r="L3" s="393"/>
      <c r="M3" s="393">
        <v>48737</v>
      </c>
      <c r="N3" s="393">
        <v>5.28</v>
      </c>
      <c r="O3" s="393">
        <v>0</v>
      </c>
      <c r="P3" s="393">
        <v>2573.31</v>
      </c>
      <c r="Q3" s="393">
        <v>0</v>
      </c>
      <c r="R3" s="337" t="s">
        <v>727</v>
      </c>
    </row>
    <row r="4" spans="1:18">
      <c r="A4" s="373">
        <v>2</v>
      </c>
      <c r="B4" s="391">
        <v>2</v>
      </c>
      <c r="C4" s="391">
        <v>2</v>
      </c>
      <c r="D4" s="391">
        <v>53</v>
      </c>
      <c r="E4" s="391">
        <v>1107</v>
      </c>
      <c r="F4" s="391">
        <v>2540460910</v>
      </c>
      <c r="G4" s="391" t="s">
        <v>894</v>
      </c>
      <c r="H4" s="391" t="s">
        <v>759</v>
      </c>
      <c r="I4" s="392" t="s">
        <v>893</v>
      </c>
      <c r="J4" s="393">
        <v>59025</v>
      </c>
      <c r="K4" s="393"/>
      <c r="L4" s="393"/>
      <c r="M4" s="393">
        <v>59025</v>
      </c>
      <c r="N4" s="393">
        <v>5.28</v>
      </c>
      <c r="O4" s="393">
        <v>0</v>
      </c>
      <c r="P4" s="393">
        <v>3116.52</v>
      </c>
      <c r="Q4" s="393">
        <v>0</v>
      </c>
      <c r="R4" s="337" t="s">
        <v>727</v>
      </c>
    </row>
    <row r="5" spans="1:18">
      <c r="A5" s="373">
        <v>3</v>
      </c>
      <c r="B5" s="391">
        <v>2</v>
      </c>
      <c r="C5" s="391">
        <v>2</v>
      </c>
      <c r="D5" s="391">
        <v>53</v>
      </c>
      <c r="E5" s="391">
        <v>1107</v>
      </c>
      <c r="F5" s="391">
        <v>2540460911</v>
      </c>
      <c r="G5" s="391" t="s">
        <v>892</v>
      </c>
      <c r="H5" s="391" t="s">
        <v>759</v>
      </c>
      <c r="I5" s="392" t="s">
        <v>893</v>
      </c>
      <c r="J5" s="393">
        <v>48737</v>
      </c>
      <c r="K5" s="393"/>
      <c r="L5" s="393"/>
      <c r="M5" s="393">
        <v>48737</v>
      </c>
      <c r="N5" s="393">
        <v>5.28</v>
      </c>
      <c r="O5" s="393">
        <v>0</v>
      </c>
      <c r="P5" s="393">
        <v>2573.31</v>
      </c>
      <c r="Q5" s="393">
        <v>0</v>
      </c>
      <c r="R5" s="337" t="s">
        <v>727</v>
      </c>
    </row>
    <row r="6" spans="1:18">
      <c r="A6" s="373">
        <v>4</v>
      </c>
      <c r="B6" s="391">
        <v>2</v>
      </c>
      <c r="C6" s="391">
        <v>2</v>
      </c>
      <c r="D6" s="391">
        <v>53</v>
      </c>
      <c r="E6" s="391">
        <v>1107</v>
      </c>
      <c r="F6" s="391">
        <v>2540460912</v>
      </c>
      <c r="G6" s="391" t="s">
        <v>892</v>
      </c>
      <c r="H6" s="391" t="s">
        <v>759</v>
      </c>
      <c r="I6" s="392" t="s">
        <v>893</v>
      </c>
      <c r="J6" s="393">
        <v>48736</v>
      </c>
      <c r="K6" s="393"/>
      <c r="L6" s="393"/>
      <c r="M6" s="393">
        <v>48736</v>
      </c>
      <c r="N6" s="393">
        <v>5.28</v>
      </c>
      <c r="O6" s="393">
        <v>0</v>
      </c>
      <c r="P6" s="393">
        <v>2573.2600000000002</v>
      </c>
      <c r="Q6" s="393">
        <v>0</v>
      </c>
      <c r="R6" s="337" t="s">
        <v>727</v>
      </c>
    </row>
    <row r="7" spans="1:18">
      <c r="A7" s="373">
        <v>5</v>
      </c>
      <c r="B7" s="391">
        <v>2</v>
      </c>
      <c r="C7" s="391">
        <v>2</v>
      </c>
      <c r="D7" s="391">
        <v>53</v>
      </c>
      <c r="E7" s="391">
        <v>1107</v>
      </c>
      <c r="F7" s="391">
        <v>2540460913</v>
      </c>
      <c r="G7" s="391" t="s">
        <v>894</v>
      </c>
      <c r="H7" s="391" t="s">
        <v>759</v>
      </c>
      <c r="I7" s="392" t="s">
        <v>893</v>
      </c>
      <c r="J7" s="393">
        <v>59026</v>
      </c>
      <c r="K7" s="393"/>
      <c r="L7" s="393"/>
      <c r="M7" s="393">
        <v>59026</v>
      </c>
      <c r="N7" s="393">
        <v>5.28</v>
      </c>
      <c r="O7" s="393">
        <v>0</v>
      </c>
      <c r="P7" s="393">
        <v>3116.57</v>
      </c>
      <c r="Q7" s="393">
        <v>0</v>
      </c>
      <c r="R7" s="337" t="s">
        <v>727</v>
      </c>
    </row>
    <row r="8" spans="1:18">
      <c r="A8" s="373">
        <v>6</v>
      </c>
      <c r="B8" s="391">
        <v>2</v>
      </c>
      <c r="C8" s="391">
        <v>2</v>
      </c>
      <c r="D8" s="391">
        <v>53</v>
      </c>
      <c r="E8" s="391">
        <v>1107</v>
      </c>
      <c r="F8" s="391">
        <v>2540460917</v>
      </c>
      <c r="G8" s="391" t="s">
        <v>895</v>
      </c>
      <c r="H8" s="391" t="s">
        <v>759</v>
      </c>
      <c r="I8" s="394">
        <v>41642</v>
      </c>
      <c r="J8" s="393">
        <v>48476</v>
      </c>
      <c r="K8" s="393"/>
      <c r="L8" s="393"/>
      <c r="M8" s="393">
        <v>48476</v>
      </c>
      <c r="N8" s="393">
        <v>5.28</v>
      </c>
      <c r="O8" s="393">
        <v>0</v>
      </c>
      <c r="P8" s="393">
        <v>213.29</v>
      </c>
      <c r="Q8" s="393">
        <v>0</v>
      </c>
      <c r="R8" s="337" t="s">
        <v>727</v>
      </c>
    </row>
    <row r="9" spans="1:18">
      <c r="A9" s="373">
        <v>7</v>
      </c>
      <c r="B9" s="391">
        <v>2</v>
      </c>
      <c r="C9" s="391">
        <v>2</v>
      </c>
      <c r="D9" s="391">
        <v>53</v>
      </c>
      <c r="E9" s="391">
        <v>1107</v>
      </c>
      <c r="F9" s="391">
        <v>2540460918</v>
      </c>
      <c r="G9" s="391" t="s">
        <v>895</v>
      </c>
      <c r="H9" s="391" t="s">
        <v>759</v>
      </c>
      <c r="I9" s="392" t="s">
        <v>896</v>
      </c>
      <c r="J9" s="393">
        <v>48476</v>
      </c>
      <c r="K9" s="393"/>
      <c r="L9" s="393"/>
      <c r="M9" s="393">
        <v>48476</v>
      </c>
      <c r="N9" s="393">
        <v>5.28</v>
      </c>
      <c r="O9" s="393">
        <v>0</v>
      </c>
      <c r="P9" s="393">
        <v>213.29</v>
      </c>
      <c r="Q9" s="393">
        <v>0</v>
      </c>
      <c r="R9" s="337" t="s">
        <v>727</v>
      </c>
    </row>
    <row r="10" spans="1:18">
      <c r="A10" s="373">
        <v>8</v>
      </c>
      <c r="B10" s="391">
        <v>2</v>
      </c>
      <c r="C10" s="391">
        <v>2</v>
      </c>
      <c r="D10" s="391">
        <v>53</v>
      </c>
      <c r="E10" s="391">
        <v>1107</v>
      </c>
      <c r="F10" s="391">
        <v>2540460919</v>
      </c>
      <c r="G10" s="391" t="s">
        <v>897</v>
      </c>
      <c r="H10" s="391" t="s">
        <v>759</v>
      </c>
      <c r="I10" s="392" t="s">
        <v>898</v>
      </c>
      <c r="J10" s="393">
        <v>48477</v>
      </c>
      <c r="K10" s="393"/>
      <c r="L10" s="393"/>
      <c r="M10" s="393">
        <v>48477</v>
      </c>
      <c r="N10" s="393">
        <v>5.28</v>
      </c>
      <c r="O10" s="393">
        <v>0</v>
      </c>
      <c r="P10" s="393">
        <v>213.3</v>
      </c>
      <c r="Q10" s="393">
        <v>0</v>
      </c>
      <c r="R10" s="337" t="s">
        <v>727</v>
      </c>
    </row>
    <row r="11" spans="1:18">
      <c r="A11" s="373">
        <v>9</v>
      </c>
      <c r="B11" s="391">
        <v>2</v>
      </c>
      <c r="C11" s="391">
        <v>2</v>
      </c>
      <c r="D11" s="391">
        <v>14</v>
      </c>
      <c r="E11" s="391">
        <v>1107</v>
      </c>
      <c r="F11" s="391">
        <v>2545481271</v>
      </c>
      <c r="G11" s="391" t="s">
        <v>899</v>
      </c>
      <c r="H11" s="391" t="s">
        <v>759</v>
      </c>
      <c r="I11" s="392" t="s">
        <v>900</v>
      </c>
      <c r="J11" s="393">
        <v>198706</v>
      </c>
      <c r="K11" s="393"/>
      <c r="L11" s="393"/>
      <c r="M11" s="393">
        <v>198706</v>
      </c>
      <c r="N11" s="393">
        <v>5.28</v>
      </c>
      <c r="O11" s="393">
        <v>0</v>
      </c>
      <c r="P11" s="393">
        <v>10491.68</v>
      </c>
      <c r="Q11" s="393">
        <v>2622.92</v>
      </c>
      <c r="R11" s="337" t="s">
        <v>727</v>
      </c>
    </row>
    <row r="12" spans="1:18">
      <c r="A12" s="373">
        <v>10</v>
      </c>
      <c r="B12" s="391">
        <v>2</v>
      </c>
      <c r="C12" s="391">
        <v>2</v>
      </c>
      <c r="D12" s="391">
        <v>14</v>
      </c>
      <c r="E12" s="391">
        <v>1107</v>
      </c>
      <c r="F12" s="391">
        <v>2545481272</v>
      </c>
      <c r="G12" s="391" t="s">
        <v>901</v>
      </c>
      <c r="H12" s="391" t="s">
        <v>759</v>
      </c>
      <c r="I12" s="392" t="s">
        <v>902</v>
      </c>
      <c r="J12" s="393">
        <v>198706</v>
      </c>
      <c r="K12" s="393"/>
      <c r="L12" s="393"/>
      <c r="M12" s="393">
        <v>198706</v>
      </c>
      <c r="N12" s="393">
        <v>5.28</v>
      </c>
      <c r="O12" s="393">
        <v>0</v>
      </c>
      <c r="P12" s="393">
        <v>10491.68</v>
      </c>
      <c r="Q12" s="393">
        <v>2622.92</v>
      </c>
      <c r="R12" s="337" t="s">
        <v>727</v>
      </c>
    </row>
    <row r="13" spans="1:18">
      <c r="A13" s="373">
        <v>11</v>
      </c>
      <c r="B13" s="391">
        <v>2</v>
      </c>
      <c r="C13" s="391">
        <v>2</v>
      </c>
      <c r="D13" s="391">
        <v>14</v>
      </c>
      <c r="E13" s="391">
        <v>1107</v>
      </c>
      <c r="F13" s="391">
        <v>2545481273</v>
      </c>
      <c r="G13" s="391" t="s">
        <v>903</v>
      </c>
      <c r="H13" s="391" t="s">
        <v>759</v>
      </c>
      <c r="I13" s="392" t="s">
        <v>902</v>
      </c>
      <c r="J13" s="393">
        <v>198706</v>
      </c>
      <c r="K13" s="393"/>
      <c r="L13" s="393"/>
      <c r="M13" s="393">
        <v>198706</v>
      </c>
      <c r="N13" s="393">
        <v>5.28</v>
      </c>
      <c r="O13" s="393">
        <v>0</v>
      </c>
      <c r="P13" s="393">
        <v>10491.68</v>
      </c>
      <c r="Q13" s="393">
        <v>2622.92</v>
      </c>
      <c r="R13" s="337" t="s">
        <v>727</v>
      </c>
    </row>
    <row r="14" spans="1:18">
      <c r="A14" s="373">
        <v>12</v>
      </c>
      <c r="B14" s="391">
        <v>2</v>
      </c>
      <c r="C14" s="391">
        <v>2</v>
      </c>
      <c r="D14" s="391">
        <v>14</v>
      </c>
      <c r="E14" s="391">
        <v>1107</v>
      </c>
      <c r="F14" s="391">
        <v>2545481274</v>
      </c>
      <c r="G14" s="391" t="s">
        <v>904</v>
      </c>
      <c r="H14" s="391" t="s">
        <v>759</v>
      </c>
      <c r="I14" s="392" t="s">
        <v>902</v>
      </c>
      <c r="J14" s="393">
        <v>198707</v>
      </c>
      <c r="K14" s="393"/>
      <c r="L14" s="393"/>
      <c r="M14" s="393">
        <v>198707</v>
      </c>
      <c r="N14" s="393">
        <v>5.28</v>
      </c>
      <c r="O14" s="393">
        <v>0</v>
      </c>
      <c r="P14" s="393">
        <v>10491.73</v>
      </c>
      <c r="Q14" s="393">
        <v>2622.93</v>
      </c>
      <c r="R14" s="337" t="s">
        <v>727</v>
      </c>
    </row>
    <row r="15" spans="1:18">
      <c r="A15" s="373">
        <v>13</v>
      </c>
      <c r="B15" s="391">
        <v>2</v>
      </c>
      <c r="C15" s="391">
        <v>2</v>
      </c>
      <c r="D15" s="391">
        <v>14</v>
      </c>
      <c r="E15" s="391">
        <v>1107</v>
      </c>
      <c r="F15" s="391">
        <v>2545481275</v>
      </c>
      <c r="G15" s="391" t="s">
        <v>905</v>
      </c>
      <c r="H15" s="391" t="s">
        <v>759</v>
      </c>
      <c r="I15" s="392" t="s">
        <v>906</v>
      </c>
      <c r="J15" s="393">
        <v>198707</v>
      </c>
      <c r="K15" s="393"/>
      <c r="L15" s="393"/>
      <c r="M15" s="393">
        <v>198707</v>
      </c>
      <c r="N15" s="393">
        <v>5.28</v>
      </c>
      <c r="O15" s="393">
        <v>0</v>
      </c>
      <c r="P15" s="393">
        <v>10491.73</v>
      </c>
      <c r="Q15" s="393">
        <v>2622.93</v>
      </c>
      <c r="R15" s="337" t="s">
        <v>727</v>
      </c>
    </row>
    <row r="16" spans="1:18">
      <c r="A16" s="373">
        <v>14</v>
      </c>
      <c r="B16" s="391">
        <v>2</v>
      </c>
      <c r="C16" s="391">
        <v>2</v>
      </c>
      <c r="D16" s="391">
        <v>14</v>
      </c>
      <c r="E16" s="391">
        <v>1107</v>
      </c>
      <c r="F16" s="391">
        <v>2545481276</v>
      </c>
      <c r="G16" s="391" t="s">
        <v>907</v>
      </c>
      <c r="H16" s="391" t="s">
        <v>759</v>
      </c>
      <c r="I16" s="392" t="s">
        <v>908</v>
      </c>
      <c r="J16" s="393">
        <v>198707</v>
      </c>
      <c r="K16" s="393"/>
      <c r="L16" s="393"/>
      <c r="M16" s="393">
        <v>198707</v>
      </c>
      <c r="N16" s="393">
        <v>5.28</v>
      </c>
      <c r="O16" s="393">
        <v>0</v>
      </c>
      <c r="P16" s="393">
        <v>10491.73</v>
      </c>
      <c r="Q16" s="393">
        <v>2622.93</v>
      </c>
      <c r="R16" s="337" t="s">
        <v>727</v>
      </c>
    </row>
    <row r="17" spans="1:18">
      <c r="A17" s="373">
        <v>15</v>
      </c>
      <c r="B17" s="391">
        <v>2</v>
      </c>
      <c r="C17" s="391">
        <v>2</v>
      </c>
      <c r="D17" s="391">
        <v>14</v>
      </c>
      <c r="E17" s="391">
        <v>1107</v>
      </c>
      <c r="F17" s="391">
        <v>2545481277</v>
      </c>
      <c r="G17" s="391" t="s">
        <v>909</v>
      </c>
      <c r="H17" s="391" t="s">
        <v>759</v>
      </c>
      <c r="I17" s="394">
        <v>41368</v>
      </c>
      <c r="J17" s="393">
        <v>198707</v>
      </c>
      <c r="K17" s="393"/>
      <c r="L17" s="393"/>
      <c r="M17" s="393">
        <v>198707</v>
      </c>
      <c r="N17" s="393">
        <v>5.28</v>
      </c>
      <c r="O17" s="393">
        <v>0</v>
      </c>
      <c r="P17" s="393">
        <v>10491.73</v>
      </c>
      <c r="Q17" s="393">
        <v>0</v>
      </c>
      <c r="R17" s="337" t="s">
        <v>727</v>
      </c>
    </row>
    <row r="18" spans="1:18">
      <c r="A18" s="373">
        <v>16</v>
      </c>
      <c r="B18" s="391">
        <v>2</v>
      </c>
      <c r="C18" s="391">
        <v>2</v>
      </c>
      <c r="D18" s="391">
        <v>14</v>
      </c>
      <c r="E18" s="391">
        <v>1107</v>
      </c>
      <c r="F18" s="391">
        <v>2545481278</v>
      </c>
      <c r="G18" s="391" t="s">
        <v>910</v>
      </c>
      <c r="H18" s="391" t="s">
        <v>759</v>
      </c>
      <c r="I18" s="392" t="s">
        <v>911</v>
      </c>
      <c r="J18" s="393">
        <v>3031840</v>
      </c>
      <c r="K18" s="393"/>
      <c r="L18" s="393"/>
      <c r="M18" s="393">
        <v>3031840</v>
      </c>
      <c r="N18" s="393">
        <v>5.28</v>
      </c>
      <c r="O18" s="393">
        <v>0</v>
      </c>
      <c r="P18" s="393">
        <v>160081.15</v>
      </c>
      <c r="Q18" s="393">
        <v>0</v>
      </c>
      <c r="R18" s="337" t="s">
        <v>727</v>
      </c>
    </row>
    <row r="19" spans="1:18">
      <c r="A19" s="373">
        <v>17</v>
      </c>
      <c r="B19" s="391">
        <v>2</v>
      </c>
      <c r="C19" s="391">
        <v>2</v>
      </c>
      <c r="D19" s="391">
        <v>14</v>
      </c>
      <c r="E19" s="391">
        <v>1107</v>
      </c>
      <c r="F19" s="391">
        <v>2545481279</v>
      </c>
      <c r="G19" s="391" t="s">
        <v>912</v>
      </c>
      <c r="H19" s="391" t="s">
        <v>759</v>
      </c>
      <c r="I19" s="392" t="s">
        <v>913</v>
      </c>
      <c r="J19" s="393">
        <v>198706</v>
      </c>
      <c r="K19" s="393"/>
      <c r="L19" s="393"/>
      <c r="M19" s="393">
        <v>198706</v>
      </c>
      <c r="N19" s="393">
        <v>5.28</v>
      </c>
      <c r="O19" s="393">
        <v>0</v>
      </c>
      <c r="P19" s="393">
        <v>10491.68</v>
      </c>
      <c r="Q19" s="393">
        <v>3497.23</v>
      </c>
      <c r="R19" s="337" t="s">
        <v>727</v>
      </c>
    </row>
    <row r="20" spans="1:18">
      <c r="A20" s="373">
        <v>18</v>
      </c>
      <c r="B20" s="391">
        <v>2</v>
      </c>
      <c r="C20" s="391">
        <v>2</v>
      </c>
      <c r="D20" s="391">
        <v>14</v>
      </c>
      <c r="E20" s="391">
        <v>1107</v>
      </c>
      <c r="F20" s="391">
        <v>2545481280</v>
      </c>
      <c r="G20" s="391" t="s">
        <v>914</v>
      </c>
      <c r="H20" s="391" t="s">
        <v>759</v>
      </c>
      <c r="I20" s="392" t="s">
        <v>915</v>
      </c>
      <c r="J20" s="393">
        <v>198706</v>
      </c>
      <c r="K20" s="393"/>
      <c r="L20" s="393"/>
      <c r="M20" s="393">
        <v>198706</v>
      </c>
      <c r="N20" s="393">
        <v>5.28</v>
      </c>
      <c r="O20" s="393">
        <v>0</v>
      </c>
      <c r="P20" s="393">
        <v>10491.68</v>
      </c>
      <c r="Q20" s="393">
        <v>3497.23</v>
      </c>
      <c r="R20" s="337" t="s">
        <v>727</v>
      </c>
    </row>
    <row r="21" spans="1:18">
      <c r="A21" s="373">
        <v>19</v>
      </c>
      <c r="B21" s="391">
        <v>2</v>
      </c>
      <c r="C21" s="391">
        <v>2</v>
      </c>
      <c r="D21" s="391">
        <v>14</v>
      </c>
      <c r="E21" s="391">
        <v>1107</v>
      </c>
      <c r="F21" s="391">
        <v>2545481281</v>
      </c>
      <c r="G21" s="391" t="s">
        <v>916</v>
      </c>
      <c r="H21" s="391" t="s">
        <v>759</v>
      </c>
      <c r="I21" s="392" t="s">
        <v>917</v>
      </c>
      <c r="J21" s="393">
        <v>198706</v>
      </c>
      <c r="K21" s="393"/>
      <c r="L21" s="393"/>
      <c r="M21" s="393">
        <v>198706</v>
      </c>
      <c r="N21" s="393">
        <v>5.28</v>
      </c>
      <c r="O21" s="393">
        <v>0</v>
      </c>
      <c r="P21" s="393">
        <v>10491.68</v>
      </c>
      <c r="Q21" s="393">
        <v>3497.23</v>
      </c>
      <c r="R21" s="337" t="s">
        <v>727</v>
      </c>
    </row>
    <row r="22" spans="1:18">
      <c r="A22" s="373">
        <v>20</v>
      </c>
      <c r="B22" s="391">
        <v>2</v>
      </c>
      <c r="C22" s="391">
        <v>2</v>
      </c>
      <c r="D22" s="391">
        <v>14</v>
      </c>
      <c r="E22" s="391">
        <v>1107</v>
      </c>
      <c r="F22" s="391">
        <v>2545481282</v>
      </c>
      <c r="G22" s="391" t="s">
        <v>918</v>
      </c>
      <c r="H22" s="391" t="s">
        <v>759</v>
      </c>
      <c r="I22" s="392" t="s">
        <v>919</v>
      </c>
      <c r="J22" s="393">
        <v>198706</v>
      </c>
      <c r="K22" s="393"/>
      <c r="L22" s="393"/>
      <c r="M22" s="393">
        <v>198706</v>
      </c>
      <c r="N22" s="393">
        <v>5.28</v>
      </c>
      <c r="O22" s="393">
        <v>0</v>
      </c>
      <c r="P22" s="393">
        <v>10491.68</v>
      </c>
      <c r="Q22" s="393">
        <v>3497.23</v>
      </c>
      <c r="R22" s="337" t="s">
        <v>727</v>
      </c>
    </row>
    <row r="23" spans="1:18">
      <c r="A23" s="373">
        <v>21</v>
      </c>
      <c r="B23" s="391">
        <v>2</v>
      </c>
      <c r="C23" s="391">
        <v>2</v>
      </c>
      <c r="D23" s="391">
        <v>14</v>
      </c>
      <c r="E23" s="391">
        <v>1107</v>
      </c>
      <c r="F23" s="391">
        <v>2545481283</v>
      </c>
      <c r="G23" s="391" t="s">
        <v>920</v>
      </c>
      <c r="H23" s="391" t="s">
        <v>759</v>
      </c>
      <c r="I23" s="392" t="s">
        <v>921</v>
      </c>
      <c r="J23" s="393">
        <v>198706</v>
      </c>
      <c r="K23" s="393"/>
      <c r="L23" s="393"/>
      <c r="M23" s="393">
        <v>198706</v>
      </c>
      <c r="N23" s="393">
        <v>5.28</v>
      </c>
      <c r="O23" s="393">
        <v>0</v>
      </c>
      <c r="P23" s="393">
        <v>10491.68</v>
      </c>
      <c r="Q23" s="393">
        <v>3497.23</v>
      </c>
      <c r="R23" s="337" t="s">
        <v>727</v>
      </c>
    </row>
    <row r="24" spans="1:18">
      <c r="A24" s="373">
        <v>22</v>
      </c>
      <c r="B24" s="391">
        <v>2</v>
      </c>
      <c r="C24" s="391">
        <v>2</v>
      </c>
      <c r="D24" s="391">
        <v>14</v>
      </c>
      <c r="E24" s="391">
        <v>1107</v>
      </c>
      <c r="F24" s="391">
        <v>2545481284</v>
      </c>
      <c r="G24" s="391" t="s">
        <v>922</v>
      </c>
      <c r="H24" s="391" t="s">
        <v>759</v>
      </c>
      <c r="I24" s="394">
        <v>41518</v>
      </c>
      <c r="J24" s="393">
        <v>198706</v>
      </c>
      <c r="K24" s="393"/>
      <c r="L24" s="393"/>
      <c r="M24" s="393">
        <v>198706</v>
      </c>
      <c r="N24" s="393">
        <v>5.28</v>
      </c>
      <c r="O24" s="393">
        <v>0</v>
      </c>
      <c r="P24" s="393">
        <v>10491.68</v>
      </c>
      <c r="Q24" s="393">
        <v>2622.92</v>
      </c>
      <c r="R24" s="337" t="s">
        <v>727</v>
      </c>
    </row>
    <row r="25" spans="1:18">
      <c r="A25" s="373">
        <v>23</v>
      </c>
      <c r="B25" s="391">
        <v>2</v>
      </c>
      <c r="C25" s="391">
        <v>2</v>
      </c>
      <c r="D25" s="391">
        <v>14</v>
      </c>
      <c r="E25" s="391">
        <v>1107</v>
      </c>
      <c r="F25" s="391">
        <v>2545481285</v>
      </c>
      <c r="G25" s="391" t="s">
        <v>923</v>
      </c>
      <c r="H25" s="391" t="s">
        <v>759</v>
      </c>
      <c r="I25" s="394">
        <v>41579</v>
      </c>
      <c r="J25" s="393">
        <v>198706</v>
      </c>
      <c r="K25" s="393"/>
      <c r="L25" s="393"/>
      <c r="M25" s="393">
        <v>198706</v>
      </c>
      <c r="N25" s="393">
        <v>5.28</v>
      </c>
      <c r="O25" s="393">
        <v>0</v>
      </c>
      <c r="P25" s="393">
        <v>10491.68</v>
      </c>
      <c r="Q25" s="393">
        <v>2622.92</v>
      </c>
      <c r="R25" s="337" t="s">
        <v>727</v>
      </c>
    </row>
    <row r="26" spans="1:18">
      <c r="A26" s="373">
        <v>24</v>
      </c>
      <c r="B26" s="391">
        <v>2</v>
      </c>
      <c r="C26" s="391">
        <v>2</v>
      </c>
      <c r="D26" s="391">
        <v>63</v>
      </c>
      <c r="E26" s="391">
        <v>1107</v>
      </c>
      <c r="F26" s="391">
        <v>2545602789</v>
      </c>
      <c r="G26" s="391" t="s">
        <v>924</v>
      </c>
      <c r="H26" s="391" t="s">
        <v>759</v>
      </c>
      <c r="I26" s="394">
        <v>41730</v>
      </c>
      <c r="J26" s="393">
        <v>24750</v>
      </c>
      <c r="K26" s="393"/>
      <c r="L26" s="393"/>
      <c r="M26" s="393">
        <v>24750</v>
      </c>
      <c r="N26" s="393">
        <v>5.28</v>
      </c>
      <c r="O26" s="393">
        <v>0</v>
      </c>
      <c r="P26" s="393">
        <v>326.7</v>
      </c>
      <c r="Q26" s="393">
        <v>0</v>
      </c>
      <c r="R26" s="337" t="s">
        <v>727</v>
      </c>
    </row>
    <row r="27" spans="1:18">
      <c r="A27" s="373">
        <v>25</v>
      </c>
      <c r="B27" s="391">
        <v>2</v>
      </c>
      <c r="C27" s="391">
        <v>2</v>
      </c>
      <c r="D27" s="391">
        <v>53</v>
      </c>
      <c r="E27" s="391">
        <v>1107</v>
      </c>
      <c r="F27" s="391">
        <v>2560810356</v>
      </c>
      <c r="G27" s="391" t="s">
        <v>925</v>
      </c>
      <c r="H27" s="391" t="s">
        <v>759</v>
      </c>
      <c r="I27" s="392" t="s">
        <v>926</v>
      </c>
      <c r="J27" s="393">
        <v>297681</v>
      </c>
      <c r="K27" s="393"/>
      <c r="L27" s="393"/>
      <c r="M27" s="393">
        <v>297681</v>
      </c>
      <c r="N27" s="393">
        <v>5.28</v>
      </c>
      <c r="O27" s="393">
        <v>0</v>
      </c>
      <c r="P27" s="393">
        <v>15717.56</v>
      </c>
      <c r="Q27" s="393">
        <v>0</v>
      </c>
      <c r="R27" s="337" t="s">
        <v>727</v>
      </c>
    </row>
    <row r="28" spans="1:18">
      <c r="A28" s="373">
        <v>26</v>
      </c>
      <c r="B28" s="391">
        <v>2</v>
      </c>
      <c r="C28" s="391">
        <v>2</v>
      </c>
      <c r="D28" s="391">
        <v>53</v>
      </c>
      <c r="E28" s="391">
        <v>1107</v>
      </c>
      <c r="F28" s="391">
        <v>2560810357</v>
      </c>
      <c r="G28" s="391" t="s">
        <v>927</v>
      </c>
      <c r="H28" s="391" t="s">
        <v>759</v>
      </c>
      <c r="I28" s="392" t="s">
        <v>928</v>
      </c>
      <c r="J28" s="393">
        <v>297681</v>
      </c>
      <c r="K28" s="393"/>
      <c r="L28" s="393"/>
      <c r="M28" s="393">
        <v>297681</v>
      </c>
      <c r="N28" s="393">
        <v>5.28</v>
      </c>
      <c r="O28" s="393">
        <v>0</v>
      </c>
      <c r="P28" s="393">
        <v>15717.56</v>
      </c>
      <c r="Q28" s="393">
        <v>0</v>
      </c>
      <c r="R28" s="337" t="s">
        <v>727</v>
      </c>
    </row>
    <row r="29" spans="1:18">
      <c r="A29" s="373">
        <v>27</v>
      </c>
      <c r="B29" s="391">
        <v>2</v>
      </c>
      <c r="C29" s="391">
        <v>2</v>
      </c>
      <c r="D29" s="391">
        <v>53</v>
      </c>
      <c r="E29" s="391">
        <v>1107</v>
      </c>
      <c r="F29" s="391">
        <v>2560810358</v>
      </c>
      <c r="G29" s="391" t="s">
        <v>927</v>
      </c>
      <c r="H29" s="391" t="s">
        <v>759</v>
      </c>
      <c r="I29" s="392" t="s">
        <v>929</v>
      </c>
      <c r="J29" s="393">
        <v>297681</v>
      </c>
      <c r="K29" s="393"/>
      <c r="L29" s="393"/>
      <c r="M29" s="393">
        <v>297681</v>
      </c>
      <c r="N29" s="393">
        <v>5.28</v>
      </c>
      <c r="O29" s="393">
        <v>0</v>
      </c>
      <c r="P29" s="393">
        <v>14407.76</v>
      </c>
      <c r="Q29" s="393">
        <v>0</v>
      </c>
      <c r="R29" s="337" t="s">
        <v>727</v>
      </c>
    </row>
    <row r="30" spans="1:18">
      <c r="A30" s="373">
        <v>28</v>
      </c>
      <c r="B30" s="391">
        <v>2</v>
      </c>
      <c r="C30" s="391">
        <v>2</v>
      </c>
      <c r="D30" s="391">
        <v>57</v>
      </c>
      <c r="E30" s="391">
        <v>1115</v>
      </c>
      <c r="F30" s="391">
        <v>7520101115</v>
      </c>
      <c r="G30" s="391" t="s">
        <v>930</v>
      </c>
      <c r="H30" s="391" t="s">
        <v>759</v>
      </c>
      <c r="I30" s="392" t="s">
        <v>928</v>
      </c>
      <c r="J30" s="393">
        <v>109585</v>
      </c>
      <c r="K30" s="393"/>
      <c r="L30" s="393"/>
      <c r="M30" s="393">
        <v>109585</v>
      </c>
      <c r="N30" s="393">
        <v>6.33</v>
      </c>
      <c r="O30" s="393">
        <v>0</v>
      </c>
      <c r="P30" s="393">
        <v>6936.73</v>
      </c>
      <c r="Q30" s="393">
        <v>0</v>
      </c>
      <c r="R30" s="337" t="s">
        <v>727</v>
      </c>
    </row>
    <row r="31" spans="1:18">
      <c r="A31" s="373">
        <v>29</v>
      </c>
      <c r="B31" s="391">
        <v>2</v>
      </c>
      <c r="C31" s="391">
        <v>2</v>
      </c>
      <c r="D31" s="391">
        <v>95</v>
      </c>
      <c r="E31" s="391">
        <v>1115</v>
      </c>
      <c r="F31" s="391">
        <v>7520101137</v>
      </c>
      <c r="G31" s="391" t="s">
        <v>931</v>
      </c>
      <c r="H31" s="391" t="s">
        <v>759</v>
      </c>
      <c r="I31" s="394">
        <v>41312</v>
      </c>
      <c r="J31" s="393">
        <v>19000</v>
      </c>
      <c r="K31" s="393"/>
      <c r="L31" s="393"/>
      <c r="M31" s="393">
        <v>19000</v>
      </c>
      <c r="N31" s="393">
        <v>6.33</v>
      </c>
      <c r="O31" s="393">
        <v>0</v>
      </c>
      <c r="P31" s="393">
        <v>902.02</v>
      </c>
      <c r="Q31" s="393">
        <v>0</v>
      </c>
      <c r="R31" s="337" t="s">
        <v>727</v>
      </c>
    </row>
    <row r="32" spans="1:18">
      <c r="A32" s="373">
        <v>30</v>
      </c>
      <c r="B32" s="391">
        <v>2</v>
      </c>
      <c r="C32" s="391">
        <v>2</v>
      </c>
      <c r="D32" s="391">
        <v>90</v>
      </c>
      <c r="E32" s="391">
        <v>1115</v>
      </c>
      <c r="F32" s="391">
        <v>7520101140</v>
      </c>
      <c r="G32" s="391" t="s">
        <v>932</v>
      </c>
      <c r="H32" s="391" t="s">
        <v>759</v>
      </c>
      <c r="I32" s="392" t="s">
        <v>933</v>
      </c>
      <c r="J32" s="393">
        <v>462600</v>
      </c>
      <c r="K32" s="393"/>
      <c r="L32" s="393"/>
      <c r="M32" s="393">
        <v>462600</v>
      </c>
      <c r="N32" s="393">
        <v>6.33</v>
      </c>
      <c r="O32" s="393">
        <v>0</v>
      </c>
      <c r="P32" s="393">
        <v>21961.93</v>
      </c>
      <c r="Q32" s="393">
        <v>0</v>
      </c>
      <c r="R32" s="337" t="s">
        <v>727</v>
      </c>
    </row>
    <row r="33" spans="1:18">
      <c r="A33" s="373">
        <v>31</v>
      </c>
      <c r="B33" s="391">
        <v>2</v>
      </c>
      <c r="C33" s="391">
        <v>2</v>
      </c>
      <c r="D33" s="391">
        <v>57</v>
      </c>
      <c r="E33" s="391">
        <v>1115</v>
      </c>
      <c r="F33" s="391">
        <v>7520101208</v>
      </c>
      <c r="G33" s="391" t="s">
        <v>934</v>
      </c>
      <c r="H33" s="391" t="s">
        <v>759</v>
      </c>
      <c r="I33" s="394">
        <v>41976</v>
      </c>
      <c r="J33" s="393">
        <v>144000</v>
      </c>
      <c r="K33" s="393"/>
      <c r="L33" s="393"/>
      <c r="M33" s="393">
        <v>144000</v>
      </c>
      <c r="N33" s="393">
        <v>6.33</v>
      </c>
      <c r="O33" s="393">
        <v>0</v>
      </c>
      <c r="P33" s="393">
        <v>759.6</v>
      </c>
      <c r="Q33" s="393">
        <v>0</v>
      </c>
      <c r="R33" s="337" t="s">
        <v>727</v>
      </c>
    </row>
    <row r="34" spans="1:18"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6">
        <f>SUM(M3:M33)</f>
        <v>7876396</v>
      </c>
      <c r="N34" s="395"/>
      <c r="O34" s="395"/>
      <c r="P34" s="395"/>
      <c r="Q34" s="395"/>
    </row>
    <row r="36" spans="1:18">
      <c r="G36" s="332" t="s">
        <v>589</v>
      </c>
      <c r="H36" s="332"/>
      <c r="I36" s="332"/>
      <c r="J36" s="332"/>
      <c r="K36" s="349">
        <f>SUM(M3:M33)</f>
        <v>7876396</v>
      </c>
      <c r="M36" s="397"/>
    </row>
    <row r="37" spans="1:18">
      <c r="G37" s="351" t="s">
        <v>751</v>
      </c>
      <c r="H37" s="332"/>
      <c r="I37" s="332"/>
      <c r="J37" s="332"/>
      <c r="K37" s="370">
        <f>SUM(M3:M33)</f>
        <v>7876396</v>
      </c>
    </row>
    <row r="38" spans="1:18">
      <c r="G38" s="332" t="s">
        <v>752</v>
      </c>
      <c r="H38" s="332"/>
      <c r="I38" s="332"/>
      <c r="J38" s="332"/>
      <c r="K38" s="352">
        <v>0</v>
      </c>
    </row>
  </sheetData>
  <mergeCells count="1">
    <mergeCell ref="A1:R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B1:N79"/>
  <sheetViews>
    <sheetView topLeftCell="A36" workbookViewId="0">
      <selection activeCell="B46" sqref="B46:L54"/>
    </sheetView>
  </sheetViews>
  <sheetFormatPr defaultRowHeight="15"/>
  <cols>
    <col min="1" max="1" width="9.33203125" style="159"/>
    <col min="2" max="2" width="8.33203125" style="163" customWidth="1"/>
    <col min="3" max="3" width="6.5" style="159" customWidth="1"/>
    <col min="4" max="4" width="6.6640625" style="159" customWidth="1"/>
    <col min="5" max="5" width="34.6640625" style="159" customWidth="1"/>
    <col min="6" max="6" width="13.33203125" style="159" hidden="1" customWidth="1"/>
    <col min="7" max="7" width="11" style="159" hidden="1" customWidth="1"/>
    <col min="8" max="8" width="13.1640625" style="159" customWidth="1"/>
    <col min="9" max="9" width="13.5" style="159" customWidth="1"/>
    <col min="10" max="10" width="14.1640625" style="159" customWidth="1"/>
    <col min="11" max="11" width="14" style="159" customWidth="1"/>
    <col min="12" max="12" width="13.6640625" style="159" customWidth="1"/>
    <col min="13" max="13" width="11.83203125" style="159" bestFit="1" customWidth="1"/>
    <col min="14" max="16384" width="9.33203125" style="159"/>
  </cols>
  <sheetData>
    <row r="1" spans="2:14">
      <c r="B1" s="548"/>
      <c r="C1" s="549"/>
      <c r="D1" s="550" t="s">
        <v>519</v>
      </c>
      <c r="E1" s="551"/>
      <c r="F1" s="551"/>
      <c r="G1" s="551"/>
      <c r="H1" s="551"/>
      <c r="I1" s="551"/>
      <c r="J1" s="551"/>
      <c r="K1" s="551"/>
      <c r="L1" s="551"/>
    </row>
    <row r="2" spans="2:14">
      <c r="B2" s="159"/>
      <c r="D2" s="160"/>
      <c r="E2" s="160"/>
      <c r="F2" s="160"/>
      <c r="G2" s="160"/>
      <c r="H2" s="160"/>
      <c r="I2" s="160"/>
      <c r="J2" s="160"/>
      <c r="K2" s="160"/>
      <c r="L2" s="160"/>
    </row>
    <row r="3" spans="2:14">
      <c r="B3" s="552" t="s">
        <v>520</v>
      </c>
      <c r="C3" s="553"/>
      <c r="D3" s="553"/>
      <c r="E3" s="553"/>
      <c r="F3" s="553"/>
      <c r="G3" s="553"/>
      <c r="H3" s="553"/>
      <c r="I3" s="553"/>
      <c r="J3" s="553"/>
      <c r="K3" s="553"/>
      <c r="L3" s="554"/>
    </row>
    <row r="4" spans="2:14">
      <c r="B4" s="555" t="s">
        <v>521</v>
      </c>
      <c r="C4" s="556"/>
      <c r="D4" s="556"/>
      <c r="E4" s="556"/>
      <c r="F4" s="556"/>
      <c r="G4" s="556"/>
      <c r="H4" s="556"/>
      <c r="I4" s="556"/>
      <c r="J4" s="556"/>
      <c r="K4" s="556"/>
      <c r="L4" s="557"/>
    </row>
    <row r="5" spans="2:14">
      <c r="B5" s="558" t="s">
        <v>522</v>
      </c>
      <c r="C5" s="559"/>
      <c r="D5" s="559"/>
      <c r="E5" s="559"/>
      <c r="F5" s="559"/>
      <c r="G5" s="559"/>
      <c r="H5" s="559"/>
      <c r="I5" s="559"/>
      <c r="J5" s="559"/>
      <c r="K5" s="559"/>
      <c r="L5" s="560"/>
    </row>
    <row r="6" spans="2:14">
      <c r="B6" s="558" t="s">
        <v>523</v>
      </c>
      <c r="C6" s="559"/>
      <c r="D6" s="559"/>
      <c r="E6" s="559"/>
      <c r="F6" s="559"/>
      <c r="G6" s="559"/>
      <c r="H6" s="559"/>
      <c r="I6" s="559"/>
      <c r="J6" s="559"/>
      <c r="K6" s="559"/>
      <c r="L6" s="560"/>
    </row>
    <row r="7" spans="2:14">
      <c r="B7" s="561"/>
      <c r="C7" s="562"/>
      <c r="D7" s="562"/>
      <c r="E7" s="562"/>
      <c r="F7" s="562"/>
      <c r="G7" s="562"/>
      <c r="H7" s="562"/>
      <c r="I7" s="562"/>
      <c r="J7" s="562"/>
      <c r="K7" s="562" t="s">
        <v>524</v>
      </c>
      <c r="L7" s="563"/>
    </row>
    <row r="8" spans="2:14" s="163" customFormat="1" ht="15" customHeight="1">
      <c r="B8" s="161" t="s">
        <v>525</v>
      </c>
      <c r="C8" s="564" t="s">
        <v>526</v>
      </c>
      <c r="D8" s="564"/>
      <c r="E8" s="564"/>
      <c r="F8" s="162" t="s">
        <v>527</v>
      </c>
      <c r="G8" s="162" t="s">
        <v>528</v>
      </c>
      <c r="H8" s="162" t="s">
        <v>68</v>
      </c>
      <c r="I8" s="162" t="s">
        <v>69</v>
      </c>
      <c r="J8" s="162" t="s">
        <v>70</v>
      </c>
      <c r="K8" s="162" t="s">
        <v>71</v>
      </c>
      <c r="L8" s="162" t="s">
        <v>72</v>
      </c>
    </row>
    <row r="9" spans="2:14">
      <c r="B9" s="164">
        <v>1</v>
      </c>
      <c r="C9" s="565">
        <v>2</v>
      </c>
      <c r="D9" s="565"/>
      <c r="E9" s="565"/>
      <c r="F9" s="165"/>
      <c r="G9" s="165"/>
      <c r="H9" s="165">
        <v>3</v>
      </c>
      <c r="I9" s="165">
        <v>4</v>
      </c>
      <c r="J9" s="165">
        <v>5</v>
      </c>
      <c r="K9" s="165">
        <v>6</v>
      </c>
      <c r="L9" s="165">
        <v>7</v>
      </c>
    </row>
    <row r="10" spans="2:14">
      <c r="B10" s="162" t="s">
        <v>529</v>
      </c>
      <c r="C10" s="538" t="s">
        <v>530</v>
      </c>
      <c r="D10" s="538"/>
      <c r="E10" s="538"/>
      <c r="F10" s="166"/>
      <c r="G10" s="166"/>
      <c r="H10" s="166"/>
      <c r="I10" s="166"/>
      <c r="J10" s="166"/>
      <c r="K10" s="166"/>
      <c r="L10" s="166"/>
    </row>
    <row r="11" spans="2:14">
      <c r="B11" s="164">
        <v>1</v>
      </c>
      <c r="C11" s="538" t="s">
        <v>531</v>
      </c>
      <c r="D11" s="538"/>
      <c r="E11" s="538"/>
      <c r="F11" s="166" t="str">
        <f>+[1]Sheet1!$B$6</f>
        <v>Stores &amp; Spares</v>
      </c>
      <c r="G11" s="166"/>
      <c r="H11" s="167">
        <f>+[1]Sheet1!C6</f>
        <v>2085.391228</v>
      </c>
      <c r="I11" s="167">
        <f>+[1]Sheet1!D6</f>
        <v>2502.2139698000005</v>
      </c>
      <c r="J11" s="167">
        <f>+[1]Sheet1!E6</f>
        <v>2847.1190620000002</v>
      </c>
      <c r="K11" s="167">
        <f>+[1]Sheet1!F6</f>
        <v>2464.4450525999996</v>
      </c>
      <c r="L11" s="167">
        <f>+[1]Sheet1!G6</f>
        <v>2069.7365597000003</v>
      </c>
      <c r="M11" s="159" t="s">
        <v>532</v>
      </c>
    </row>
    <row r="12" spans="2:14">
      <c r="B12" s="164">
        <v>2</v>
      </c>
      <c r="C12" s="538" t="s">
        <v>533</v>
      </c>
      <c r="D12" s="538"/>
      <c r="E12" s="538"/>
      <c r="F12" s="166" t="str">
        <f>+[1]Sheet1!$B$8</f>
        <v>Outside Services</v>
      </c>
      <c r="G12" s="166" t="str">
        <f>+[1]Sheet1!$B$8</f>
        <v>Outside Services</v>
      </c>
      <c r="H12" s="167">
        <f>+[1]Sheet1!C8</f>
        <v>1717.1922000000002</v>
      </c>
      <c r="I12" s="168">
        <f>+[1]Sheet1!D8</f>
        <v>1996.63517</v>
      </c>
      <c r="J12" s="167">
        <f>+[1]Sheet1!E8</f>
        <v>1983.28603</v>
      </c>
      <c r="K12" s="167">
        <f>+[1]Sheet1!F8</f>
        <v>2082.2567899999999</v>
      </c>
      <c r="L12" s="167">
        <f>+[1]Sheet1!G8</f>
        <v>2541.0259095399997</v>
      </c>
      <c r="M12" s="159" t="s">
        <v>532</v>
      </c>
    </row>
    <row r="13" spans="2:14">
      <c r="B13" s="164">
        <v>3</v>
      </c>
      <c r="C13" s="538" t="s">
        <v>534</v>
      </c>
      <c r="D13" s="538"/>
      <c r="E13" s="538"/>
      <c r="F13" s="166" t="str">
        <f>+[1]Sheet1!$B$11</f>
        <v>Other Expenditure</v>
      </c>
      <c r="G13" s="166" t="s">
        <v>535</v>
      </c>
      <c r="H13" s="167">
        <v>68.186999999999998</v>
      </c>
      <c r="I13" s="167">
        <v>65.859780000000001</v>
      </c>
      <c r="J13" s="167">
        <v>69.890029999999996</v>
      </c>
      <c r="K13" s="167">
        <v>64.226399999999998</v>
      </c>
      <c r="L13" s="167">
        <v>41.240719999999996</v>
      </c>
      <c r="N13" s="169">
        <f>+L13+L27</f>
        <v>57.950867699999996</v>
      </c>
    </row>
    <row r="14" spans="2:14">
      <c r="B14" s="164">
        <v>4</v>
      </c>
      <c r="C14" s="538" t="s">
        <v>536</v>
      </c>
      <c r="D14" s="538"/>
      <c r="E14" s="538"/>
      <c r="F14" s="166"/>
      <c r="G14" s="166"/>
      <c r="H14" s="166"/>
      <c r="I14" s="166"/>
      <c r="J14" s="166"/>
      <c r="K14" s="166"/>
      <c r="L14" s="166"/>
    </row>
    <row r="15" spans="2:14">
      <c r="B15" s="170">
        <v>4.0999999999999996</v>
      </c>
      <c r="C15" s="538" t="s">
        <v>537</v>
      </c>
      <c r="D15" s="538"/>
      <c r="E15" s="538"/>
      <c r="F15" s="166"/>
      <c r="G15" s="166"/>
      <c r="H15" s="167">
        <f>+[1]Sheet1!C38</f>
        <v>1182.2648308</v>
      </c>
      <c r="I15" s="167">
        <f>+[1]Sheet1!D38</f>
        <v>813.92120409999995</v>
      </c>
      <c r="J15" s="167">
        <f>+[1]Sheet1!E38</f>
        <v>818.26505889999999</v>
      </c>
      <c r="K15" s="167">
        <f>+[1]Sheet1!F38</f>
        <v>730.78701000000001</v>
      </c>
      <c r="L15" s="167">
        <f>+[1]Sheet1!G38</f>
        <v>846.48018999999999</v>
      </c>
      <c r="M15" s="159" t="s">
        <v>532</v>
      </c>
    </row>
    <row r="16" spans="2:14">
      <c r="B16" s="164">
        <v>5</v>
      </c>
      <c r="C16" s="538" t="s">
        <v>538</v>
      </c>
      <c r="D16" s="538"/>
      <c r="E16" s="538"/>
      <c r="F16" s="166" t="str">
        <f>+[1]Sheet1!$B$9</f>
        <v>Internal Services</v>
      </c>
      <c r="G16" s="166"/>
      <c r="H16" s="167">
        <f>+[1]Sheet1!C28</f>
        <v>82.081592300000011</v>
      </c>
      <c r="I16" s="167">
        <f>+[1]Sheet1!D28</f>
        <v>83.074695399999996</v>
      </c>
      <c r="J16" s="167">
        <f>+[1]Sheet1!E28</f>
        <v>84.98833190000002</v>
      </c>
      <c r="K16" s="167">
        <f>+[1]Sheet1!F28</f>
        <v>74.386608099999989</v>
      </c>
      <c r="L16" s="167">
        <f>+[1]Sheet1!G28</f>
        <v>74.750266500000009</v>
      </c>
      <c r="M16" s="159" t="s">
        <v>532</v>
      </c>
    </row>
    <row r="17" spans="2:14">
      <c r="B17" s="164">
        <v>6</v>
      </c>
      <c r="C17" s="538" t="s">
        <v>539</v>
      </c>
      <c r="D17" s="538"/>
      <c r="E17" s="538"/>
      <c r="F17" s="166" t="str">
        <f>+[1]Sheet1!$B$11</f>
        <v>Other Expenditure</v>
      </c>
      <c r="G17" s="166"/>
      <c r="H17" s="167">
        <v>0</v>
      </c>
      <c r="I17" s="167">
        <v>0</v>
      </c>
      <c r="J17" s="167">
        <v>0</v>
      </c>
      <c r="K17" s="167">
        <v>0</v>
      </c>
      <c r="L17" s="167">
        <v>0</v>
      </c>
    </row>
    <row r="18" spans="2:14">
      <c r="B18" s="170">
        <v>6.1</v>
      </c>
      <c r="C18" s="547" t="s">
        <v>540</v>
      </c>
      <c r="D18" s="547"/>
      <c r="E18" s="547"/>
      <c r="F18" s="166" t="str">
        <f>+[1]Sheet1!$B$11</f>
        <v>Other Expenditure</v>
      </c>
      <c r="G18" s="166" t="s">
        <v>541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</row>
    <row r="19" spans="2:14">
      <c r="B19" s="170">
        <v>6.2</v>
      </c>
      <c r="C19" s="547" t="s">
        <v>542</v>
      </c>
      <c r="D19" s="547"/>
      <c r="E19" s="547"/>
      <c r="F19" s="166" t="str">
        <f>+[1]Sheet1!$B$11</f>
        <v>Other Expenditure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</row>
    <row r="20" spans="2:14">
      <c r="B20" s="170">
        <v>6.3</v>
      </c>
      <c r="C20" s="547" t="s">
        <v>543</v>
      </c>
      <c r="D20" s="547"/>
      <c r="E20" s="547"/>
      <c r="F20" s="166" t="str">
        <f>+[1]Sheet1!$B$11</f>
        <v>Other Expenditure</v>
      </c>
      <c r="G20" s="166" t="s">
        <v>544</v>
      </c>
      <c r="H20" s="167">
        <v>24.328620000000001</v>
      </c>
      <c r="I20" s="167">
        <v>17.874580000000002</v>
      </c>
      <c r="J20" s="167">
        <v>11.993800000000002</v>
      </c>
      <c r="K20" s="167">
        <v>24.647349999999996</v>
      </c>
      <c r="L20" s="167">
        <v>13.672342100000002</v>
      </c>
    </row>
    <row r="21" spans="2:14">
      <c r="B21" s="170">
        <v>6.4</v>
      </c>
      <c r="C21" s="547" t="s">
        <v>545</v>
      </c>
      <c r="D21" s="547"/>
      <c r="E21" s="547"/>
      <c r="F21" s="166" t="str">
        <f>+[1]Sheet1!$B$11</f>
        <v>Other Expenditure</v>
      </c>
      <c r="G21" s="166" t="s">
        <v>546</v>
      </c>
      <c r="H21" s="167">
        <v>0.25336000000000003</v>
      </c>
      <c r="I21" s="167">
        <v>0.70449000000000006</v>
      </c>
      <c r="J21" s="167">
        <v>0.54003000000000001</v>
      </c>
      <c r="K21" s="167">
        <v>2.2964692000000002</v>
      </c>
      <c r="L21" s="167">
        <f>0.007128056*100</f>
        <v>0.71280559999999993</v>
      </c>
    </row>
    <row r="22" spans="2:14">
      <c r="B22" s="170">
        <v>6.5</v>
      </c>
      <c r="C22" s="547" t="s">
        <v>547</v>
      </c>
      <c r="D22" s="547"/>
      <c r="E22" s="547"/>
      <c r="F22" s="166" t="str">
        <f>+[1]Sheet1!$B$11</f>
        <v>Other Expenditure</v>
      </c>
      <c r="G22" s="166"/>
      <c r="H22" s="167">
        <v>0</v>
      </c>
      <c r="I22" s="167">
        <v>0</v>
      </c>
      <c r="J22" s="167">
        <v>0</v>
      </c>
      <c r="K22" s="167">
        <v>0</v>
      </c>
      <c r="L22" s="167">
        <v>0</v>
      </c>
    </row>
    <row r="23" spans="2:14">
      <c r="B23" s="170">
        <v>6.6</v>
      </c>
      <c r="C23" s="547" t="s">
        <v>548</v>
      </c>
      <c r="D23" s="547"/>
      <c r="E23" s="547"/>
      <c r="F23" s="166" t="str">
        <f>+[1]Sheet1!$B$11</f>
        <v>Other Expenditure</v>
      </c>
      <c r="G23" s="166"/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N23" s="169"/>
    </row>
    <row r="24" spans="2:14">
      <c r="B24" s="170">
        <v>6.7</v>
      </c>
      <c r="C24" s="547" t="s">
        <v>549</v>
      </c>
      <c r="D24" s="547"/>
      <c r="E24" s="547"/>
      <c r="F24" s="166" t="str">
        <f>+[1]Sheet1!$B$11</f>
        <v>Other Expenditure</v>
      </c>
      <c r="G24" s="166"/>
      <c r="H24" s="167">
        <v>0</v>
      </c>
      <c r="I24" s="167">
        <v>0</v>
      </c>
      <c r="J24" s="167">
        <v>0</v>
      </c>
      <c r="K24" s="167">
        <v>0</v>
      </c>
      <c r="L24" s="167">
        <v>0</v>
      </c>
    </row>
    <row r="25" spans="2:14">
      <c r="B25" s="170">
        <v>6.8</v>
      </c>
      <c r="C25" s="547" t="s">
        <v>550</v>
      </c>
      <c r="D25" s="547"/>
      <c r="E25" s="547"/>
      <c r="F25" s="166" t="str">
        <f>+[1]Sheet1!$B$11</f>
        <v>Other Expenditure</v>
      </c>
      <c r="G25" s="166" t="s">
        <v>551</v>
      </c>
      <c r="H25" s="167">
        <v>15.335000000000001</v>
      </c>
      <c r="I25" s="167">
        <v>15.53</v>
      </c>
      <c r="J25" s="167">
        <v>15.205</v>
      </c>
      <c r="K25" s="167">
        <v>13.685</v>
      </c>
      <c r="L25" s="167">
        <f>0.02325*100</f>
        <v>2.3250000000000002</v>
      </c>
    </row>
    <row r="26" spans="2:14">
      <c r="B26" s="170">
        <v>6.9</v>
      </c>
      <c r="C26" s="547" t="s">
        <v>552</v>
      </c>
      <c r="D26" s="547"/>
      <c r="E26" s="547"/>
      <c r="F26" s="166" t="str">
        <f>+[1]Sheet1!$B$11</f>
        <v>Other Expenditure</v>
      </c>
      <c r="G26" s="166"/>
      <c r="H26" s="167">
        <v>0</v>
      </c>
      <c r="I26" s="167">
        <v>0</v>
      </c>
      <c r="J26" s="167">
        <v>0</v>
      </c>
      <c r="K26" s="167">
        <v>0</v>
      </c>
      <c r="L26" s="167">
        <v>0</v>
      </c>
    </row>
    <row r="27" spans="2:14">
      <c r="B27" s="161"/>
      <c r="C27" s="546" t="s">
        <v>553</v>
      </c>
      <c r="D27" s="546"/>
      <c r="E27" s="546"/>
      <c r="F27" s="171" t="str">
        <f>+[1]Sheet1!$B$11</f>
        <v>Other Expenditure</v>
      </c>
      <c r="G27" s="171"/>
      <c r="H27" s="172">
        <f>+SUM(H18:H26)</f>
        <v>39.916980000000002</v>
      </c>
      <c r="I27" s="172">
        <f t="shared" ref="I27:L27" si="0">+SUM(I18:I26)</f>
        <v>34.109070000000003</v>
      </c>
      <c r="J27" s="172">
        <f t="shared" si="0"/>
        <v>27.73883</v>
      </c>
      <c r="K27" s="172">
        <f t="shared" si="0"/>
        <v>40.628819199999995</v>
      </c>
      <c r="L27" s="172">
        <f t="shared" si="0"/>
        <v>16.7101477</v>
      </c>
    </row>
    <row r="28" spans="2:14">
      <c r="B28" s="164">
        <v>7</v>
      </c>
      <c r="C28" s="538" t="s">
        <v>554</v>
      </c>
      <c r="D28" s="538"/>
      <c r="E28" s="538"/>
      <c r="F28" s="166" t="str">
        <f>+[1]Sheet1!$B$7</f>
        <v>Remuneration &amp; Benefits</v>
      </c>
      <c r="G28" s="166"/>
      <c r="H28" s="167">
        <v>0</v>
      </c>
      <c r="I28" s="167">
        <v>0</v>
      </c>
      <c r="J28" s="167">
        <v>0</v>
      </c>
      <c r="K28" s="167">
        <v>0</v>
      </c>
      <c r="L28" s="167">
        <v>0</v>
      </c>
    </row>
    <row r="29" spans="2:14">
      <c r="B29" s="170">
        <v>7.1</v>
      </c>
      <c r="C29" s="547" t="s">
        <v>555</v>
      </c>
      <c r="D29" s="547"/>
      <c r="E29" s="547"/>
      <c r="F29" s="166" t="str">
        <f>+[1]Sheet1!$B$7</f>
        <v>Remuneration &amp; Benefits</v>
      </c>
      <c r="G29" s="166" t="s">
        <v>556</v>
      </c>
      <c r="H29" s="167">
        <v>10450.577388099999</v>
      </c>
      <c r="I29" s="167">
        <v>11254.395580899996</v>
      </c>
      <c r="J29" s="167">
        <f>10977.966297-1.7252288</f>
        <v>10976.241068200001</v>
      </c>
      <c r="K29" s="167">
        <f>10158.2210209-1.5961309-K32</f>
        <v>9641.66489</v>
      </c>
      <c r="L29" s="167">
        <v>10564.005013300002</v>
      </c>
    </row>
    <row r="30" spans="2:14">
      <c r="B30" s="170">
        <v>7.2</v>
      </c>
      <c r="C30" s="547" t="s">
        <v>557</v>
      </c>
      <c r="D30" s="547"/>
      <c r="E30" s="547"/>
      <c r="F30" s="166" t="str">
        <f>+[1]Sheet1!$B$7</f>
        <v>Remuneration &amp; Benefits</v>
      </c>
      <c r="G30" s="166" t="s">
        <v>558</v>
      </c>
      <c r="H30" s="167">
        <f>317.0592313+611.8125275</f>
        <v>928.87175879999995</v>
      </c>
      <c r="I30" s="167">
        <v>900.62393529999997</v>
      </c>
      <c r="J30" s="167">
        <v>938.16547070000001</v>
      </c>
      <c r="K30" s="167">
        <v>966.40484089999995</v>
      </c>
      <c r="L30" s="167">
        <v>1004.1026062000001</v>
      </c>
    </row>
    <row r="31" spans="2:14">
      <c r="B31" s="170">
        <v>7.3</v>
      </c>
      <c r="C31" s="547" t="s">
        <v>559</v>
      </c>
      <c r="D31" s="547"/>
      <c r="E31" s="547"/>
      <c r="F31" s="166" t="str">
        <f>+[1]Sheet1!$B$7</f>
        <v>Remuneration &amp; Benefits</v>
      </c>
      <c r="G31" s="166" t="s">
        <v>560</v>
      </c>
      <c r="H31" s="167">
        <v>984.41618149999999</v>
      </c>
      <c r="I31" s="167">
        <v>1590.8205857999999</v>
      </c>
      <c r="J31" s="167">
        <v>1179.4307322999996</v>
      </c>
      <c r="K31" s="167">
        <v>1168.4919822999998</v>
      </c>
      <c r="L31" s="167">
        <v>1339.3583844</v>
      </c>
    </row>
    <row r="32" spans="2:14">
      <c r="B32" s="170">
        <v>7.4</v>
      </c>
      <c r="C32" s="547" t="s">
        <v>561</v>
      </c>
      <c r="D32" s="547"/>
      <c r="E32" s="547"/>
      <c r="F32" s="166" t="str">
        <f>+[1]Sheet1!$B$7</f>
        <v>Remuneration &amp; Benefits</v>
      </c>
      <c r="G32" s="166"/>
      <c r="H32" s="167">
        <v>0</v>
      </c>
      <c r="I32" s="167">
        <v>0</v>
      </c>
      <c r="J32" s="167">
        <v>0</v>
      </c>
      <c r="K32" s="167">
        <v>514.96</v>
      </c>
      <c r="L32" s="167">
        <v>0</v>
      </c>
    </row>
    <row r="33" spans="2:14">
      <c r="B33" s="170">
        <v>7.5</v>
      </c>
      <c r="C33" s="547" t="s">
        <v>562</v>
      </c>
      <c r="D33" s="547"/>
      <c r="E33" s="547"/>
      <c r="F33" s="166" t="str">
        <f>+[1]Sheet1!$B$7</f>
        <v>Remuneration &amp; Benefits</v>
      </c>
      <c r="G33" s="166" t="s">
        <v>563</v>
      </c>
      <c r="H33" s="167">
        <v>1869.74451</v>
      </c>
      <c r="I33" s="167">
        <v>2031.9096600000003</v>
      </c>
      <c r="J33" s="167">
        <v>2072.6792500000001</v>
      </c>
      <c r="K33" s="167">
        <v>1826.5352800000001</v>
      </c>
      <c r="L33" s="167">
        <v>2242.9339</v>
      </c>
    </row>
    <row r="34" spans="2:14">
      <c r="B34" s="170">
        <v>7.6</v>
      </c>
      <c r="C34" s="547" t="s">
        <v>564</v>
      </c>
      <c r="D34" s="547"/>
      <c r="E34" s="547"/>
      <c r="F34" s="166" t="str">
        <f>+[1]Sheet1!$B$7</f>
        <v>Remuneration &amp; Benefits</v>
      </c>
      <c r="G34" s="166" t="s">
        <v>565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</row>
    <row r="35" spans="2:14">
      <c r="B35" s="162"/>
      <c r="C35" s="546" t="s">
        <v>566</v>
      </c>
      <c r="D35" s="546"/>
      <c r="E35" s="546"/>
      <c r="F35" s="171" t="str">
        <f>+[1]Sheet1!$B$7</f>
        <v>Remuneration &amp; Benefits</v>
      </c>
      <c r="G35" s="171"/>
      <c r="H35" s="172">
        <f>+SUM(H29:H34)</f>
        <v>14233.6098384</v>
      </c>
      <c r="I35" s="172">
        <f t="shared" ref="I35:L35" si="1">+SUM(I29:I34)</f>
        <v>15777.749761999996</v>
      </c>
      <c r="J35" s="172">
        <f t="shared" si="1"/>
        <v>15166.516521199999</v>
      </c>
      <c r="K35" s="172">
        <f t="shared" si="1"/>
        <v>14118.0569932</v>
      </c>
      <c r="L35" s="172">
        <f t="shared" si="1"/>
        <v>15150.399903900003</v>
      </c>
      <c r="M35" s="159" t="s">
        <v>532</v>
      </c>
    </row>
    <row r="36" spans="2:14">
      <c r="B36" s="164">
        <v>8</v>
      </c>
      <c r="C36" s="538" t="s">
        <v>567</v>
      </c>
      <c r="D36" s="538"/>
      <c r="E36" s="538"/>
      <c r="F36" s="166"/>
      <c r="G36" s="166"/>
      <c r="H36" s="167">
        <v>0</v>
      </c>
      <c r="I36" s="167">
        <v>0</v>
      </c>
      <c r="J36" s="167">
        <v>0</v>
      </c>
      <c r="K36" s="167">
        <v>0</v>
      </c>
      <c r="L36" s="167">
        <v>0</v>
      </c>
    </row>
    <row r="37" spans="2:14">
      <c r="B37" s="164">
        <v>9</v>
      </c>
      <c r="C37" s="538" t="s">
        <v>568</v>
      </c>
      <c r="D37" s="538"/>
      <c r="E37" s="538"/>
      <c r="F37" s="166" t="str">
        <f>+[1]Sheet1!B11</f>
        <v>Other Expenditure</v>
      </c>
      <c r="G37" s="166" t="s">
        <v>569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</row>
    <row r="38" spans="2:14">
      <c r="B38" s="164">
        <v>10</v>
      </c>
      <c r="C38" s="538" t="s">
        <v>570</v>
      </c>
      <c r="D38" s="538"/>
      <c r="E38" s="538"/>
      <c r="F38" s="166"/>
      <c r="G38" s="166"/>
      <c r="H38" s="167">
        <v>0</v>
      </c>
      <c r="I38" s="167">
        <v>0</v>
      </c>
      <c r="J38" s="167">
        <v>0</v>
      </c>
      <c r="K38" s="167">
        <v>0</v>
      </c>
      <c r="L38" s="167">
        <v>0</v>
      </c>
    </row>
    <row r="39" spans="2:14">
      <c r="B39" s="164">
        <v>11</v>
      </c>
      <c r="C39" s="538" t="s">
        <v>571</v>
      </c>
      <c r="D39" s="538"/>
      <c r="E39" s="538"/>
      <c r="F39" s="166" t="str">
        <f>+[1]Sheet1!B10</f>
        <v>Common Charges</v>
      </c>
      <c r="G39" s="166" t="s">
        <v>572</v>
      </c>
      <c r="H39" s="167">
        <f>[1]Sheet1!C10</f>
        <v>4730.2049803999998</v>
      </c>
      <c r="I39" s="167">
        <f>[1]Sheet1!D10</f>
        <v>6081.4820203999998</v>
      </c>
      <c r="J39" s="167">
        <f>[1]Sheet1!E10</f>
        <v>5911.2877230999993</v>
      </c>
      <c r="K39" s="167">
        <f>[1]Sheet1!F10</f>
        <v>6075.8874527999997</v>
      </c>
      <c r="L39" s="167">
        <f>[1]Sheet1!G10</f>
        <v>5534.329039199999</v>
      </c>
      <c r="M39" s="159" t="s">
        <v>532</v>
      </c>
    </row>
    <row r="40" spans="2:14">
      <c r="B40" s="164">
        <v>12</v>
      </c>
      <c r="C40" s="538" t="s">
        <v>573</v>
      </c>
      <c r="D40" s="538"/>
      <c r="E40" s="538"/>
      <c r="F40" s="166"/>
      <c r="G40" s="166"/>
      <c r="H40" s="167">
        <f>+[1]Sheet1!C11-'[1]Table 1'!H13-'[1]Table 1'!H27+[1]Sheet1!C29-[1]Sheet1!C38</f>
        <v>1002.6558535999995</v>
      </c>
      <c r="I40" s="167">
        <f>+[1]Sheet1!D11-'[1]Table 1'!I13-'[1]Table 1'!I27+[1]Sheet1!D29-[1]Sheet1!D38</f>
        <v>819.90892009999982</v>
      </c>
      <c r="J40" s="167">
        <f>+[1]Sheet1!E11-'[1]Table 1'!J13-'[1]Table 1'!J27+[1]Sheet1!E29-[1]Sheet1!E38</f>
        <v>942.66874099999995</v>
      </c>
      <c r="K40" s="167">
        <f>+[1]Sheet1!F11-'[1]Table 1'!K13-'[1]Table 1'!K27+[1]Sheet1!F29-[1]Sheet1!F38</f>
        <v>846.92254119999984</v>
      </c>
      <c r="L40" s="167">
        <f>+[1]Sheet1!G11-'[1]Table 1'!L13-'[1]Table 1'!L27+[1]Sheet1!G29-[1]Sheet1!G38</f>
        <v>737.42135465999991</v>
      </c>
      <c r="N40" s="169">
        <f>+[1]Sheet1!G11-'[1]Table 1'!L13-'[1]Table 1'!L27</f>
        <v>140.58293080000004</v>
      </c>
    </row>
    <row r="41" spans="2:14">
      <c r="B41" s="173">
        <v>14</v>
      </c>
      <c r="C41" s="539" t="s">
        <v>574</v>
      </c>
      <c r="D41" s="539"/>
      <c r="E41" s="539"/>
      <c r="F41" s="174"/>
      <c r="G41" s="174"/>
      <c r="H41" s="175">
        <f>SUM(H11:H40)-H27-H35</f>
        <v>25141.5045035</v>
      </c>
      <c r="I41" s="175">
        <f t="shared" ref="I41:L41" si="2">SUM(I11:I40)-I27-I35</f>
        <v>28174.954591799997</v>
      </c>
      <c r="J41" s="175">
        <f t="shared" si="2"/>
        <v>27851.760328100005</v>
      </c>
      <c r="K41" s="175">
        <f t="shared" si="2"/>
        <v>26497.597667100003</v>
      </c>
      <c r="L41" s="175">
        <f t="shared" si="2"/>
        <v>27012.094091199993</v>
      </c>
    </row>
    <row r="42" spans="2:14">
      <c r="B42" s="176" t="s">
        <v>575</v>
      </c>
      <c r="C42" s="540" t="s">
        <v>576</v>
      </c>
      <c r="D42" s="538"/>
      <c r="E42" s="538"/>
      <c r="F42" s="166" t="str">
        <f>+[1]Sheet1!B13</f>
        <v>Recovery -Others</v>
      </c>
      <c r="G42" s="166" t="s">
        <v>577</v>
      </c>
      <c r="H42" s="167">
        <f>[1]Sheet1!C13</f>
        <v>49.826219999999999</v>
      </c>
      <c r="I42" s="167">
        <f>[1]Sheet1!D13</f>
        <v>22.444448000000001</v>
      </c>
      <c r="J42" s="167">
        <f>[1]Sheet1!E13</f>
        <v>7.1712123999999999</v>
      </c>
      <c r="K42" s="167">
        <f>[1]Sheet1!F13</f>
        <v>11.943217899999999</v>
      </c>
      <c r="L42" s="167">
        <f>[1]Sheet1!G13+[1]Sheet1!G15</f>
        <v>200.02723950000018</v>
      </c>
    </row>
    <row r="43" spans="2:14">
      <c r="B43" s="173">
        <v>15</v>
      </c>
      <c r="C43" s="539" t="s">
        <v>578</v>
      </c>
      <c r="D43" s="539"/>
      <c r="E43" s="539"/>
      <c r="F43" s="174"/>
      <c r="G43" s="174"/>
      <c r="H43" s="175">
        <f>H41-H42</f>
        <v>25091.678283500001</v>
      </c>
      <c r="I43" s="175">
        <f t="shared" ref="I43:K43" si="3">I41-I42</f>
        <v>28152.510143799998</v>
      </c>
      <c r="J43" s="175">
        <f t="shared" si="3"/>
        <v>27844.589115700004</v>
      </c>
      <c r="K43" s="175">
        <f t="shared" si="3"/>
        <v>26485.654449200003</v>
      </c>
      <c r="L43" s="175">
        <f>L41-L42</f>
        <v>26812.066851699994</v>
      </c>
    </row>
    <row r="44" spans="2:14" ht="16.5" customHeight="1">
      <c r="B44" s="164">
        <v>16</v>
      </c>
      <c r="C44" s="538" t="s">
        <v>579</v>
      </c>
      <c r="D44" s="538"/>
      <c r="E44" s="538"/>
      <c r="F44" s="166"/>
      <c r="G44" s="166"/>
      <c r="H44" s="167"/>
      <c r="I44" s="167"/>
      <c r="J44" s="167"/>
      <c r="K44" s="167"/>
      <c r="L44" s="167"/>
      <c r="M44" s="169"/>
    </row>
    <row r="45" spans="2:14">
      <c r="B45" s="162" t="s">
        <v>580</v>
      </c>
      <c r="C45" s="541"/>
      <c r="D45" s="542"/>
      <c r="E45" s="542"/>
      <c r="F45" s="177"/>
      <c r="G45" s="177"/>
      <c r="H45" s="178"/>
      <c r="I45" s="178"/>
      <c r="J45" s="178"/>
      <c r="K45" s="178"/>
      <c r="L45" s="179"/>
    </row>
    <row r="46" spans="2:14" ht="21.75" customHeight="1">
      <c r="B46" s="543" t="s">
        <v>704</v>
      </c>
      <c r="C46" s="544"/>
      <c r="D46" s="544"/>
      <c r="E46" s="544"/>
      <c r="F46" s="544"/>
      <c r="G46" s="544"/>
      <c r="H46" s="544"/>
      <c r="I46" s="544"/>
      <c r="J46" s="544"/>
      <c r="K46" s="544"/>
      <c r="L46" s="545"/>
    </row>
    <row r="47" spans="2:14" ht="17.25" customHeight="1">
      <c r="B47" s="536" t="s">
        <v>705</v>
      </c>
      <c r="C47" s="503"/>
      <c r="D47" s="503"/>
      <c r="E47" s="503"/>
      <c r="F47" s="503"/>
      <c r="G47" s="503"/>
      <c r="H47" s="503"/>
      <c r="I47" s="503"/>
      <c r="J47" s="503"/>
      <c r="K47" s="503"/>
      <c r="L47" s="537"/>
    </row>
    <row r="48" spans="2:14" ht="17.25" customHeight="1">
      <c r="B48" s="536" t="s">
        <v>706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537"/>
    </row>
    <row r="49" spans="2:13" ht="15" customHeight="1">
      <c r="B49" s="536" t="s">
        <v>707</v>
      </c>
      <c r="C49" s="503"/>
      <c r="D49" s="503"/>
      <c r="E49" s="503"/>
      <c r="F49" s="503"/>
      <c r="G49" s="503"/>
      <c r="H49" s="503"/>
      <c r="I49" s="503"/>
      <c r="J49" s="503"/>
      <c r="K49" s="503"/>
      <c r="L49" s="537"/>
    </row>
    <row r="50" spans="2:13" ht="15" customHeight="1">
      <c r="B50" s="536" t="s">
        <v>708</v>
      </c>
      <c r="C50" s="503"/>
      <c r="D50" s="503"/>
      <c r="E50" s="503"/>
      <c r="F50" s="503"/>
      <c r="G50" s="503"/>
      <c r="H50" s="503"/>
      <c r="I50" s="503"/>
      <c r="J50" s="503"/>
      <c r="K50" s="503"/>
      <c r="L50" s="537"/>
    </row>
    <row r="51" spans="2:13" ht="15" customHeight="1">
      <c r="B51" s="536" t="s">
        <v>709</v>
      </c>
      <c r="C51" s="503"/>
      <c r="D51" s="503"/>
      <c r="E51" s="503"/>
      <c r="F51" s="503"/>
      <c r="G51" s="503"/>
      <c r="H51" s="503"/>
      <c r="I51" s="503"/>
      <c r="J51" s="503"/>
      <c r="K51" s="503"/>
      <c r="L51" s="537"/>
    </row>
    <row r="52" spans="2:13" ht="15" customHeight="1">
      <c r="B52" s="536" t="s">
        <v>710</v>
      </c>
      <c r="C52" s="503"/>
      <c r="D52" s="503"/>
      <c r="E52" s="503"/>
      <c r="F52" s="503"/>
      <c r="G52" s="503"/>
      <c r="H52" s="503"/>
      <c r="I52" s="503"/>
      <c r="J52" s="503"/>
      <c r="K52" s="503"/>
      <c r="L52" s="537"/>
    </row>
    <row r="53" spans="2:13" ht="15" customHeight="1">
      <c r="B53" s="536" t="s">
        <v>712</v>
      </c>
      <c r="C53" s="503"/>
      <c r="D53" s="503"/>
      <c r="E53" s="503"/>
      <c r="F53" s="503"/>
      <c r="G53" s="503"/>
      <c r="H53" s="503"/>
      <c r="I53" s="503"/>
      <c r="J53" s="503"/>
      <c r="K53" s="503"/>
      <c r="L53" s="537"/>
      <c r="M53" s="169"/>
    </row>
    <row r="54" spans="2:13" ht="15" customHeight="1">
      <c r="B54" s="533" t="s">
        <v>711</v>
      </c>
      <c r="C54" s="534"/>
      <c r="D54" s="534"/>
      <c r="E54" s="534"/>
      <c r="F54" s="534"/>
      <c r="G54" s="534"/>
      <c r="H54" s="534"/>
      <c r="I54" s="534"/>
      <c r="J54" s="534"/>
      <c r="K54" s="534"/>
      <c r="L54" s="535"/>
      <c r="M54" s="169"/>
    </row>
    <row r="55" spans="2:13" hidden="1">
      <c r="B55" s="180"/>
      <c r="C55" s="181"/>
      <c r="D55" s="181"/>
      <c r="E55" s="181"/>
      <c r="F55" s="181"/>
      <c r="G55" s="181"/>
      <c r="H55" s="181"/>
      <c r="I55" s="181"/>
      <c r="J55" s="181"/>
      <c r="K55" s="182"/>
      <c r="L55" s="182"/>
      <c r="M55" s="169"/>
    </row>
    <row r="56" spans="2:13" hidden="1">
      <c r="H56" s="183">
        <v>25091.678283499994</v>
      </c>
      <c r="I56" s="184">
        <v>28152.510143799998</v>
      </c>
      <c r="J56" s="183">
        <v>27844.58911569999</v>
      </c>
      <c r="K56" s="183">
        <v>26485.654449199996</v>
      </c>
      <c r="L56" s="184">
        <v>26812.066851699994</v>
      </c>
      <c r="M56" s="169"/>
    </row>
    <row r="57" spans="2:13">
      <c r="H57" s="169">
        <f>+H56-H43</f>
        <v>0</v>
      </c>
      <c r="I57" s="169">
        <f t="shared" ref="I57:L57" si="4">+I56-I43</f>
        <v>0</v>
      </c>
      <c r="J57" s="169">
        <f t="shared" si="4"/>
        <v>0</v>
      </c>
      <c r="K57" s="169">
        <f t="shared" si="4"/>
        <v>0</v>
      </c>
      <c r="L57" s="169">
        <f t="shared" si="4"/>
        <v>0</v>
      </c>
    </row>
    <row r="58" spans="2:13">
      <c r="B58" s="185"/>
      <c r="C58" s="186"/>
      <c r="D58" s="186"/>
      <c r="E58" s="187" t="s">
        <v>581</v>
      </c>
      <c r="F58" s="166"/>
      <c r="G58" s="166"/>
      <c r="H58" s="188" t="s">
        <v>294</v>
      </c>
      <c r="I58" s="188" t="s">
        <v>295</v>
      </c>
      <c r="J58" s="188" t="s">
        <v>296</v>
      </c>
      <c r="K58" s="188" t="s">
        <v>60</v>
      </c>
      <c r="L58" s="188" t="s">
        <v>61</v>
      </c>
    </row>
    <row r="59" spans="2:13">
      <c r="E59" s="166" t="s">
        <v>582</v>
      </c>
      <c r="F59" s="166"/>
      <c r="G59" s="166"/>
      <c r="H59" s="189">
        <f>+[1]Sheet1!C29-[1]Sheet1!C38</f>
        <v>828.95313859999965</v>
      </c>
      <c r="I59" s="189">
        <f>+[1]Sheet1!D29-[1]Sheet1!D38</f>
        <v>710.68490559999975</v>
      </c>
      <c r="J59" s="189">
        <f>+[1]Sheet1!E29-[1]Sheet1!E38</f>
        <v>779.82860600000004</v>
      </c>
      <c r="K59" s="189">
        <f>+[1]Sheet1!F29-[1]Sheet1!F38</f>
        <v>696.77862409999989</v>
      </c>
      <c r="L59" s="189">
        <f>+[1]Sheet1!G29-[1]Sheet1!G38</f>
        <v>596.83842385999992</v>
      </c>
    </row>
    <row r="60" spans="2:13">
      <c r="E60" s="166" t="s">
        <v>583</v>
      </c>
      <c r="F60" s="166"/>
      <c r="G60" s="166"/>
      <c r="H60" s="189">
        <v>0</v>
      </c>
      <c r="I60" s="189">
        <v>2.3652700000000002</v>
      </c>
      <c r="J60" s="189">
        <v>0.17824999999999999</v>
      </c>
      <c r="K60" s="189">
        <v>1.20106</v>
      </c>
      <c r="L60" s="189">
        <v>0</v>
      </c>
    </row>
    <row r="61" spans="2:13">
      <c r="E61" s="166" t="s">
        <v>584</v>
      </c>
      <c r="F61" s="166"/>
      <c r="G61" s="166"/>
      <c r="H61" s="189">
        <v>9.2458600000000004</v>
      </c>
      <c r="I61" s="189">
        <v>2.63028</v>
      </c>
      <c r="J61" s="189">
        <v>0</v>
      </c>
      <c r="K61" s="189">
        <v>0</v>
      </c>
      <c r="L61" s="189">
        <v>0</v>
      </c>
    </row>
    <row r="62" spans="2:13">
      <c r="E62" s="166" t="s">
        <v>585</v>
      </c>
      <c r="F62" s="166"/>
      <c r="G62" s="166"/>
      <c r="H62" s="189">
        <v>37.085569999999997</v>
      </c>
      <c r="I62" s="189">
        <v>5.9533899999999997</v>
      </c>
      <c r="J62" s="189">
        <v>15.38693</v>
      </c>
      <c r="K62" s="189">
        <v>20.16686</v>
      </c>
      <c r="L62" s="189">
        <v>16.905929999999998</v>
      </c>
    </row>
    <row r="63" spans="2:13">
      <c r="E63" s="166" t="s">
        <v>586</v>
      </c>
      <c r="F63" s="166"/>
      <c r="G63" s="166"/>
      <c r="H63" s="189">
        <v>21.238150000000001</v>
      </c>
      <c r="I63" s="189">
        <v>0</v>
      </c>
      <c r="J63" s="189">
        <v>0</v>
      </c>
      <c r="K63" s="189">
        <v>0</v>
      </c>
      <c r="L63" s="189">
        <v>0</v>
      </c>
    </row>
    <row r="64" spans="2:13">
      <c r="E64" s="166" t="s">
        <v>587</v>
      </c>
      <c r="F64" s="166"/>
      <c r="G64" s="166"/>
      <c r="H64" s="189">
        <v>19.181270000000001</v>
      </c>
      <c r="I64" s="189">
        <v>22.688420000000001</v>
      </c>
      <c r="J64" s="189">
        <v>36.013500000000001</v>
      </c>
      <c r="K64" s="189">
        <v>28.111899999999999</v>
      </c>
      <c r="L64" s="189">
        <v>15.936800000000002</v>
      </c>
    </row>
    <row r="65" spans="5:12">
      <c r="E65" s="166" t="s">
        <v>588</v>
      </c>
      <c r="F65" s="166"/>
      <c r="G65" s="166"/>
      <c r="H65" s="189">
        <f>173.702715-SUM(H60:H64)</f>
        <v>86.951865000000012</v>
      </c>
      <c r="I65" s="189">
        <f>109.2240145-SUM(I60:I64)</f>
        <v>75.586654499999995</v>
      </c>
      <c r="J65" s="189">
        <f>162.840135-SUM(J60:J64)</f>
        <v>111.26145500000001</v>
      </c>
      <c r="K65" s="189">
        <f>150.1439171-SUM(K60:K64)</f>
        <v>100.66409710000002</v>
      </c>
      <c r="L65" s="189">
        <f>140.5829308-SUM(L60:L64)</f>
        <v>107.74020080000001</v>
      </c>
    </row>
    <row r="66" spans="5:12">
      <c r="E66" s="174" t="s">
        <v>589</v>
      </c>
      <c r="F66" s="174"/>
      <c r="G66" s="174"/>
      <c r="H66" s="190">
        <f>+SUM(H59:H65)</f>
        <v>1002.6558535999997</v>
      </c>
      <c r="I66" s="190">
        <f t="shared" ref="I66:L66" si="5">+SUM(I59:I65)</f>
        <v>819.9089200999997</v>
      </c>
      <c r="J66" s="190">
        <f t="shared" si="5"/>
        <v>942.66874100000018</v>
      </c>
      <c r="K66" s="190">
        <f t="shared" si="5"/>
        <v>846.92254119999996</v>
      </c>
      <c r="L66" s="190">
        <f t="shared" si="5"/>
        <v>737.42135465999991</v>
      </c>
    </row>
    <row r="68" spans="5:12">
      <c r="E68" s="159" t="s">
        <v>590</v>
      </c>
      <c r="H68" s="169">
        <f>+H66-H40</f>
        <v>0</v>
      </c>
      <c r="I68" s="169">
        <f>+I66-I40</f>
        <v>0</v>
      </c>
      <c r="J68" s="169">
        <f>+J66-J40</f>
        <v>0</v>
      </c>
      <c r="K68" s="169">
        <f>+K66-K40</f>
        <v>0</v>
      </c>
      <c r="L68" s="169">
        <f>+L66-L40</f>
        <v>0</v>
      </c>
    </row>
    <row r="70" spans="5:12">
      <c r="H70" s="169"/>
    </row>
    <row r="71" spans="5:12">
      <c r="E71" s="174" t="s">
        <v>591</v>
      </c>
      <c r="F71" s="166"/>
      <c r="G71" s="166"/>
      <c r="H71" s="188" t="s">
        <v>294</v>
      </c>
      <c r="I71" s="188" t="s">
        <v>295</v>
      </c>
      <c r="J71" s="188" t="s">
        <v>296</v>
      </c>
      <c r="K71" s="188" t="s">
        <v>60</v>
      </c>
      <c r="L71" s="188" t="s">
        <v>61</v>
      </c>
    </row>
    <row r="72" spans="5:12">
      <c r="E72" s="166" t="s">
        <v>592</v>
      </c>
      <c r="F72" s="166"/>
      <c r="G72" s="166"/>
      <c r="H72" s="167">
        <v>303.57859000000002</v>
      </c>
      <c r="I72" s="191">
        <v>187.22063</v>
      </c>
      <c r="J72" s="167">
        <v>210.00985</v>
      </c>
      <c r="K72" s="167">
        <v>2.74729</v>
      </c>
      <c r="L72" s="167">
        <v>376.50853000000001</v>
      </c>
    </row>
    <row r="73" spans="5:12">
      <c r="E73" s="166" t="s">
        <v>593</v>
      </c>
      <c r="F73" s="166"/>
      <c r="G73" s="166"/>
      <c r="H73" s="167">
        <v>789.46059000000002</v>
      </c>
      <c r="I73" s="191">
        <v>864.05111000000011</v>
      </c>
      <c r="J73" s="167">
        <v>872.69028999999989</v>
      </c>
      <c r="K73" s="167">
        <v>870.11174999999992</v>
      </c>
      <c r="L73" s="167">
        <v>900.61756000000003</v>
      </c>
    </row>
    <row r="74" spans="5:12">
      <c r="E74" s="166" t="s">
        <v>594</v>
      </c>
      <c r="F74" s="166"/>
      <c r="G74" s="166"/>
      <c r="H74" s="167">
        <v>776.70533</v>
      </c>
      <c r="I74" s="191">
        <v>980.63792000000001</v>
      </c>
      <c r="J74" s="167">
        <v>989.97910999999999</v>
      </c>
      <c r="K74" s="167">
        <v>953.67624000000001</v>
      </c>
      <c r="L74" s="167">
        <v>965.80781000000002</v>
      </c>
    </row>
    <row r="75" spans="5:12">
      <c r="E75" s="174" t="s">
        <v>589</v>
      </c>
      <c r="F75" s="174"/>
      <c r="G75" s="174"/>
      <c r="H75" s="175">
        <f>+SUM(H72:H74)</f>
        <v>1869.74451</v>
      </c>
      <c r="I75" s="175">
        <f>+SUM(I72:I74)</f>
        <v>2031.9096600000003</v>
      </c>
      <c r="J75" s="175">
        <f>+SUM(J72:J74)</f>
        <v>2072.6792500000001</v>
      </c>
      <c r="K75" s="175">
        <f>+SUM(K72:K74)</f>
        <v>1826.5352800000001</v>
      </c>
      <c r="L75" s="175">
        <f>+SUM(L72:L74)</f>
        <v>2242.9339</v>
      </c>
    </row>
    <row r="76" spans="5:12">
      <c r="H76" s="169">
        <f>+H75-H33</f>
        <v>0</v>
      </c>
      <c r="I76" s="169">
        <f>+I75-I33</f>
        <v>0</v>
      </c>
      <c r="J76" s="169">
        <f>+J75-J33</f>
        <v>0</v>
      </c>
      <c r="K76" s="169">
        <f>+K75-K33</f>
        <v>0</v>
      </c>
      <c r="L76" s="169">
        <f>+L75-L33</f>
        <v>0</v>
      </c>
    </row>
    <row r="78" spans="5:12">
      <c r="E78" s="174" t="s">
        <v>595</v>
      </c>
      <c r="F78" s="166"/>
      <c r="G78" s="166"/>
      <c r="H78" s="188" t="s">
        <v>294</v>
      </c>
      <c r="I78" s="188" t="s">
        <v>295</v>
      </c>
      <c r="J78" s="188" t="s">
        <v>296</v>
      </c>
      <c r="K78" s="188" t="s">
        <v>60</v>
      </c>
      <c r="L78" s="188" t="s">
        <v>61</v>
      </c>
    </row>
    <row r="79" spans="5:12">
      <c r="E79" s="166" t="s">
        <v>596</v>
      </c>
      <c r="F79" s="166"/>
      <c r="G79" s="166"/>
      <c r="H79" s="166">
        <v>381.2</v>
      </c>
      <c r="I79" s="167">
        <v>1004.18935</v>
      </c>
      <c r="J79" s="167">
        <v>705.77671570000007</v>
      </c>
      <c r="K79" s="167">
        <v>1197.5965173</v>
      </c>
      <c r="L79" s="167">
        <v>483.27647409999997</v>
      </c>
    </row>
  </sheetData>
  <mergeCells count="55">
    <mergeCell ref="C11:E11"/>
    <mergeCell ref="B1:C1"/>
    <mergeCell ref="D1:L1"/>
    <mergeCell ref="B3:L3"/>
    <mergeCell ref="B4:L4"/>
    <mergeCell ref="B5:L5"/>
    <mergeCell ref="B6:L6"/>
    <mergeCell ref="B7:J7"/>
    <mergeCell ref="K7:L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B47:L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B46:L46"/>
    <mergeCell ref="B54:L54"/>
    <mergeCell ref="B48:L48"/>
    <mergeCell ref="B49:L49"/>
    <mergeCell ref="B50:L50"/>
    <mergeCell ref="B51:L51"/>
    <mergeCell ref="B52:L52"/>
    <mergeCell ref="B53:L5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8"/>
  <sheetViews>
    <sheetView topLeftCell="A8" workbookViewId="0">
      <selection sqref="A1:F16"/>
    </sheetView>
  </sheetViews>
  <sheetFormatPr defaultRowHeight="15"/>
  <cols>
    <col min="1" max="1" width="18.33203125" style="192" customWidth="1"/>
    <col min="2" max="2" width="14.1640625" style="192" bestFit="1" customWidth="1"/>
    <col min="3" max="5" width="12.33203125" style="192" bestFit="1" customWidth="1"/>
    <col min="6" max="6" width="13.6640625" style="192" customWidth="1"/>
    <col min="7" max="16384" width="9.33203125" style="192"/>
  </cols>
  <sheetData>
    <row r="1" spans="1:7" ht="16.5" thickBot="1">
      <c r="A1" s="568" t="s">
        <v>597</v>
      </c>
      <c r="B1" s="568"/>
      <c r="C1" s="568"/>
      <c r="D1" s="568"/>
      <c r="E1" s="568"/>
      <c r="F1" s="568"/>
    </row>
    <row r="2" spans="1:7" ht="15.75" thickBot="1">
      <c r="A2" s="193" t="s">
        <v>598</v>
      </c>
      <c r="B2" s="194" t="s">
        <v>294</v>
      </c>
      <c r="C2" s="194" t="s">
        <v>295</v>
      </c>
      <c r="D2" s="194" t="s">
        <v>296</v>
      </c>
      <c r="E2" s="194" t="s">
        <v>60</v>
      </c>
      <c r="F2" s="194" t="s">
        <v>61</v>
      </c>
    </row>
    <row r="3" spans="1:7" ht="15.75" thickBot="1">
      <c r="A3" s="195" t="s">
        <v>599</v>
      </c>
      <c r="B3" s="566" t="s">
        <v>600</v>
      </c>
      <c r="C3" s="567"/>
      <c r="D3" s="567"/>
      <c r="E3" s="567"/>
      <c r="F3" s="567"/>
    </row>
    <row r="4" spans="1:7" ht="39.75" thickBot="1">
      <c r="A4" s="196" t="s">
        <v>601</v>
      </c>
      <c r="B4" s="326">
        <v>287.45713769999998</v>
      </c>
      <c r="C4" s="326">
        <v>282.20830000000001</v>
      </c>
      <c r="D4" s="326">
        <v>310.86450000000002</v>
      </c>
      <c r="E4" s="326">
        <v>320.73576000000003</v>
      </c>
      <c r="F4" s="326">
        <v>304.57191999999998</v>
      </c>
      <c r="G4" s="192">
        <v>4302</v>
      </c>
    </row>
    <row r="5" spans="1:7" ht="65.25" thickBot="1">
      <c r="A5" s="196" t="s">
        <v>602</v>
      </c>
      <c r="B5" s="327">
        <v>0</v>
      </c>
      <c r="C5" s="326">
        <v>0.13270999999999999</v>
      </c>
      <c r="D5" s="326">
        <v>0.39116000000000001</v>
      </c>
      <c r="E5" s="326">
        <v>0.58189999999999997</v>
      </c>
      <c r="F5" s="326">
        <v>0.35579</v>
      </c>
      <c r="G5" s="192">
        <v>4303</v>
      </c>
    </row>
    <row r="6" spans="1:7" ht="65.25" thickBot="1">
      <c r="A6" s="196" t="s">
        <v>603</v>
      </c>
      <c r="B6" s="327">
        <v>0</v>
      </c>
      <c r="C6" s="327">
        <v>0</v>
      </c>
      <c r="D6" s="326">
        <v>0.3</v>
      </c>
      <c r="E6" s="327">
        <v>0</v>
      </c>
      <c r="F6" s="326">
        <v>2.5000000000000001E-2</v>
      </c>
      <c r="G6" s="192">
        <v>4308</v>
      </c>
    </row>
    <row r="7" spans="1:7" ht="65.25" thickBot="1">
      <c r="A7" s="196" t="s">
        <v>604</v>
      </c>
      <c r="B7" s="326">
        <v>2.3463067</v>
      </c>
      <c r="C7" s="326">
        <v>0.49554919999999997</v>
      </c>
      <c r="D7" s="327">
        <v>0</v>
      </c>
      <c r="E7" s="326">
        <v>8.4864699999999987E-2</v>
      </c>
      <c r="F7" s="327">
        <v>0</v>
      </c>
      <c r="G7" s="192">
        <v>4311</v>
      </c>
    </row>
    <row r="8" spans="1:7" ht="27" thickBot="1">
      <c r="A8" s="196" t="s">
        <v>605</v>
      </c>
      <c r="B8" s="327">
        <v>0</v>
      </c>
      <c r="C8" s="327">
        <v>0</v>
      </c>
      <c r="D8" s="327">
        <v>0</v>
      </c>
      <c r="E8" s="327">
        <v>0</v>
      </c>
      <c r="F8" s="327">
        <v>0</v>
      </c>
      <c r="G8" s="192">
        <v>4313</v>
      </c>
    </row>
    <row r="9" spans="1:7" ht="52.5" thickBot="1">
      <c r="A9" s="196" t="s">
        <v>606</v>
      </c>
      <c r="B9" s="326">
        <v>2.5457869</v>
      </c>
      <c r="C9" s="326">
        <v>3.1084560999999997</v>
      </c>
      <c r="D9" s="326">
        <v>11.482897900000001</v>
      </c>
      <c r="E9" s="326">
        <v>1.5363996</v>
      </c>
      <c r="F9" s="326">
        <v>15.343178999999999</v>
      </c>
      <c r="G9" s="192">
        <v>4314</v>
      </c>
    </row>
    <row r="10" spans="1:7" ht="65.25" thickBot="1">
      <c r="A10" s="196" t="s">
        <v>607</v>
      </c>
      <c r="B10" s="327">
        <v>0</v>
      </c>
      <c r="C10" s="327">
        <v>0</v>
      </c>
      <c r="D10" s="328">
        <v>0.79419000000001461</v>
      </c>
      <c r="E10" s="328">
        <v>10.426400000000001</v>
      </c>
      <c r="F10" s="327">
        <v>0</v>
      </c>
      <c r="G10" s="192">
        <v>4315</v>
      </c>
    </row>
    <row r="11" spans="1:7" ht="39.75" thickBot="1">
      <c r="A11" s="196" t="s">
        <v>608</v>
      </c>
      <c r="B11" s="326">
        <v>-2.5000000000000001E-2</v>
      </c>
      <c r="C11" s="326">
        <v>-3.4500000000000003E-2</v>
      </c>
      <c r="D11" s="326">
        <v>-4.7500000000000001E-2</v>
      </c>
      <c r="E11" s="326">
        <v>-4.3999999999999997E-2</v>
      </c>
      <c r="F11" s="326">
        <v>-4.4999999999999998E-2</v>
      </c>
      <c r="G11" s="192">
        <v>4322</v>
      </c>
    </row>
    <row r="12" spans="1:7" ht="15.75" thickBot="1">
      <c r="A12" s="196" t="s">
        <v>609</v>
      </c>
      <c r="B12" s="326">
        <v>4.15564</v>
      </c>
      <c r="C12" s="326">
        <v>3.9483600000000001</v>
      </c>
      <c r="D12" s="326">
        <v>3.0021399999999998</v>
      </c>
      <c r="E12" s="326">
        <v>2.8235100000000002</v>
      </c>
      <c r="F12" s="326">
        <v>3.09666</v>
      </c>
      <c r="G12" s="192">
        <v>4325</v>
      </c>
    </row>
    <row r="13" spans="1:7" ht="27" thickBot="1">
      <c r="A13" s="196" t="s">
        <v>610</v>
      </c>
      <c r="B13" s="326">
        <v>20.579360000000001</v>
      </c>
      <c r="C13" s="326">
        <v>26.534500000000001</v>
      </c>
      <c r="D13" s="326">
        <v>28.3994</v>
      </c>
      <c r="E13" s="326">
        <v>42.18779</v>
      </c>
      <c r="F13" s="326">
        <v>94.088759999999994</v>
      </c>
      <c r="G13" s="192">
        <v>4326</v>
      </c>
    </row>
    <row r="14" spans="1:7" ht="39.75" thickBot="1">
      <c r="A14" s="197" t="s">
        <v>611</v>
      </c>
      <c r="B14" s="327" t="s">
        <v>612</v>
      </c>
      <c r="C14" s="326">
        <v>0.10861999999999999</v>
      </c>
      <c r="D14" s="327" t="s">
        <v>612</v>
      </c>
      <c r="E14" s="327">
        <v>0</v>
      </c>
      <c r="F14" s="327">
        <v>0</v>
      </c>
      <c r="G14" s="192">
        <v>3258</v>
      </c>
    </row>
    <row r="15" spans="1:7" ht="27" thickBot="1">
      <c r="A15" s="197" t="s">
        <v>613</v>
      </c>
      <c r="B15" s="329">
        <v>611.81252749999999</v>
      </c>
      <c r="C15" s="330">
        <v>584.12194</v>
      </c>
      <c r="D15" s="327">
        <v>582.9786828</v>
      </c>
      <c r="E15" s="327">
        <v>588.07221659999993</v>
      </c>
      <c r="F15" s="329">
        <v>586.66629720000003</v>
      </c>
      <c r="G15" s="192" t="s">
        <v>614</v>
      </c>
    </row>
    <row r="16" spans="1:7" ht="16.5" thickBot="1">
      <c r="A16" s="198" t="s">
        <v>589</v>
      </c>
      <c r="B16" s="329">
        <f>SUM(B4:B15)</f>
        <v>928.87175879999995</v>
      </c>
      <c r="C16" s="327">
        <f t="shared" ref="C16:F16" si="0">SUM(C4:C15)</f>
        <v>900.62393529999997</v>
      </c>
      <c r="D16" s="327">
        <f t="shared" si="0"/>
        <v>938.16547070000001</v>
      </c>
      <c r="E16" s="327">
        <f t="shared" si="0"/>
        <v>966.40484089999995</v>
      </c>
      <c r="F16" s="327">
        <f t="shared" si="0"/>
        <v>1004.1026062</v>
      </c>
    </row>
    <row r="18" spans="2:6">
      <c r="B18" s="199">
        <f>+B16-'[1]Table 1'!H30</f>
        <v>0</v>
      </c>
      <c r="C18" s="199">
        <f>+C16-'[1]Table 1'!I30</f>
        <v>0</v>
      </c>
      <c r="D18" s="199">
        <f>+D16-'[1]Table 1'!J30</f>
        <v>0</v>
      </c>
      <c r="E18" s="199">
        <f>+E16-'[1]Table 1'!K30</f>
        <v>0</v>
      </c>
      <c r="F18" s="199">
        <f>+F16-'[1]Table 1'!L30</f>
        <v>0</v>
      </c>
    </row>
  </sheetData>
  <mergeCells count="2">
    <mergeCell ref="B3:F3"/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21"/>
  <sheetViews>
    <sheetView workbookViewId="0">
      <selection sqref="A1:I20"/>
    </sheetView>
  </sheetViews>
  <sheetFormatPr defaultColWidth="8.83203125" defaultRowHeight="15.75"/>
  <cols>
    <col min="1" max="3" width="6.5" style="93" customWidth="1"/>
    <col min="4" max="4" width="34.6640625" style="93" customWidth="1"/>
    <col min="5" max="9" width="14.6640625" style="93" bestFit="1" customWidth="1"/>
    <col min="10" max="16384" width="8.83203125" style="93"/>
  </cols>
  <sheetData>
    <row r="1" spans="1:9" ht="18" customHeight="1">
      <c r="A1" s="569"/>
      <c r="B1" s="570"/>
      <c r="C1" s="571" t="s">
        <v>298</v>
      </c>
      <c r="D1" s="572"/>
      <c r="E1" s="572"/>
      <c r="F1" s="572"/>
      <c r="G1" s="572"/>
      <c r="H1" s="572"/>
      <c r="I1" s="572"/>
    </row>
    <row r="2" spans="1:9" ht="21.6" customHeight="1">
      <c r="A2" s="573"/>
      <c r="B2" s="573"/>
      <c r="C2" s="573" t="s">
        <v>299</v>
      </c>
      <c r="D2" s="573"/>
      <c r="E2" s="573"/>
      <c r="F2" s="573"/>
      <c r="G2" s="573"/>
      <c r="H2" s="573"/>
      <c r="I2" s="573"/>
    </row>
    <row r="3" spans="1:9" ht="23.1" customHeight="1">
      <c r="A3" s="106"/>
      <c r="B3" s="573"/>
      <c r="C3" s="573"/>
      <c r="D3" s="573" t="s">
        <v>300</v>
      </c>
      <c r="E3" s="573"/>
      <c r="F3" s="573"/>
      <c r="G3" s="573"/>
      <c r="H3" s="573"/>
      <c r="I3" s="573"/>
    </row>
    <row r="4" spans="1:9" ht="18" customHeight="1">
      <c r="A4" s="106"/>
      <c r="B4" s="575" t="s">
        <v>301</v>
      </c>
      <c r="C4" s="573"/>
      <c r="D4" s="573"/>
      <c r="E4" s="573"/>
      <c r="F4" s="573"/>
      <c r="G4" s="573"/>
      <c r="H4" s="573"/>
      <c r="I4" s="573"/>
    </row>
    <row r="5" spans="1:9" ht="19.899999999999999" customHeight="1">
      <c r="A5" s="106"/>
      <c r="B5" s="575" t="s">
        <v>302</v>
      </c>
      <c r="C5" s="573"/>
      <c r="D5" s="573"/>
      <c r="E5" s="573"/>
      <c r="F5" s="573"/>
      <c r="G5" s="573"/>
      <c r="H5" s="573"/>
      <c r="I5" s="573"/>
    </row>
    <row r="6" spans="1:9" ht="21.6" customHeight="1">
      <c r="A6" s="106"/>
      <c r="B6" s="576"/>
      <c r="C6" s="576"/>
      <c r="D6" s="576"/>
      <c r="E6" s="576"/>
      <c r="F6" s="576"/>
      <c r="G6" s="576"/>
      <c r="H6" s="573" t="s">
        <v>303</v>
      </c>
      <c r="I6" s="573"/>
    </row>
    <row r="7" spans="1:9" ht="20.45" customHeight="1">
      <c r="A7" s="106" t="s">
        <v>304</v>
      </c>
      <c r="B7" s="573" t="s">
        <v>305</v>
      </c>
      <c r="C7" s="573"/>
      <c r="D7" s="573"/>
      <c r="E7" s="106" t="s">
        <v>306</v>
      </c>
      <c r="F7" s="106" t="s">
        <v>307</v>
      </c>
      <c r="G7" s="106" t="s">
        <v>308</v>
      </c>
      <c r="H7" s="106" t="s">
        <v>309</v>
      </c>
      <c r="I7" s="106" t="s">
        <v>310</v>
      </c>
    </row>
    <row r="8" spans="1:9" ht="21" customHeight="1">
      <c r="A8" s="122">
        <v>1</v>
      </c>
      <c r="B8" s="577">
        <v>2</v>
      </c>
      <c r="C8" s="577"/>
      <c r="D8" s="577"/>
      <c r="E8" s="122">
        <v>3</v>
      </c>
      <c r="F8" s="122">
        <v>4</v>
      </c>
      <c r="G8" s="122">
        <v>5</v>
      </c>
      <c r="H8" s="122">
        <v>6</v>
      </c>
      <c r="I8" s="122">
        <v>7</v>
      </c>
    </row>
    <row r="9" spans="1:9" ht="24.95" customHeight="1">
      <c r="A9" s="106" t="s">
        <v>311</v>
      </c>
      <c r="B9" s="518" t="s">
        <v>312</v>
      </c>
      <c r="C9" s="518"/>
      <c r="D9" s="518"/>
      <c r="E9" s="106"/>
      <c r="F9" s="106"/>
      <c r="G9" s="106"/>
      <c r="H9" s="106"/>
      <c r="I9" s="106"/>
    </row>
    <row r="10" spans="1:9" ht="24.95" customHeight="1">
      <c r="A10" s="123">
        <v>1</v>
      </c>
      <c r="B10" s="518" t="s">
        <v>313</v>
      </c>
      <c r="C10" s="518"/>
      <c r="D10" s="518"/>
      <c r="E10" s="574" t="s">
        <v>314</v>
      </c>
      <c r="F10" s="574"/>
      <c r="G10" s="574"/>
      <c r="H10" s="574"/>
      <c r="I10" s="574"/>
    </row>
    <row r="11" spans="1:9" ht="24.95" customHeight="1">
      <c r="A11" s="123">
        <v>2</v>
      </c>
      <c r="B11" s="518" t="s">
        <v>315</v>
      </c>
      <c r="C11" s="518"/>
      <c r="D11" s="518"/>
      <c r="E11" s="574" t="s">
        <v>316</v>
      </c>
      <c r="F11" s="574"/>
      <c r="G11" s="574"/>
      <c r="H11" s="574"/>
      <c r="I11" s="574"/>
    </row>
    <row r="12" spans="1:9" ht="24.95" customHeight="1">
      <c r="A12" s="123">
        <v>3</v>
      </c>
      <c r="B12" s="518" t="s">
        <v>317</v>
      </c>
      <c r="C12" s="518"/>
      <c r="D12" s="518"/>
      <c r="E12" s="574" t="s">
        <v>4</v>
      </c>
      <c r="F12" s="574"/>
      <c r="G12" s="574"/>
      <c r="H12" s="574"/>
      <c r="I12" s="574"/>
    </row>
    <row r="13" spans="1:9" ht="36.6" customHeight="1">
      <c r="A13" s="124">
        <v>4</v>
      </c>
      <c r="B13" s="578" t="s">
        <v>318</v>
      </c>
      <c r="C13" s="518"/>
      <c r="D13" s="518"/>
      <c r="E13" s="579" t="s">
        <v>319</v>
      </c>
      <c r="F13" s="579"/>
      <c r="G13" s="579"/>
      <c r="H13" s="579"/>
      <c r="I13" s="579"/>
    </row>
    <row r="14" spans="1:9" ht="24.95" customHeight="1">
      <c r="A14" s="106" t="s">
        <v>320</v>
      </c>
      <c r="B14" s="518" t="s">
        <v>321</v>
      </c>
      <c r="C14" s="518"/>
      <c r="D14" s="518"/>
      <c r="E14" s="125"/>
      <c r="F14" s="125"/>
      <c r="G14" s="125"/>
      <c r="H14" s="125"/>
      <c r="I14" s="125"/>
    </row>
    <row r="15" spans="1:9" ht="24.95" customHeight="1">
      <c r="A15" s="124">
        <v>5</v>
      </c>
      <c r="B15" s="518" t="s">
        <v>322</v>
      </c>
      <c r="C15" s="518"/>
      <c r="D15" s="518"/>
      <c r="E15" s="125" t="s">
        <v>13</v>
      </c>
      <c r="F15" s="125" t="s">
        <v>13</v>
      </c>
      <c r="G15" s="125" t="s">
        <v>12</v>
      </c>
      <c r="H15" s="125" t="s">
        <v>12</v>
      </c>
      <c r="I15" s="125" t="s">
        <v>12</v>
      </c>
    </row>
    <row r="16" spans="1:9" ht="24.95" customHeight="1">
      <c r="A16" s="124">
        <v>6</v>
      </c>
      <c r="B16" s="518" t="s">
        <v>323</v>
      </c>
      <c r="C16" s="518"/>
      <c r="D16" s="518"/>
      <c r="E16" s="125" t="s">
        <v>13</v>
      </c>
      <c r="F16" s="125" t="s">
        <v>13</v>
      </c>
      <c r="G16" s="125" t="s">
        <v>12</v>
      </c>
      <c r="H16" s="125" t="s">
        <v>12</v>
      </c>
      <c r="I16" s="125" t="s">
        <v>12</v>
      </c>
    </row>
    <row r="17" spans="1:9" ht="24.95" customHeight="1">
      <c r="A17" s="124">
        <v>7</v>
      </c>
      <c r="B17" s="578" t="s">
        <v>324</v>
      </c>
      <c r="C17" s="518"/>
      <c r="D17" s="518"/>
      <c r="E17" s="126" t="s">
        <v>325</v>
      </c>
      <c r="F17" s="126" t="s">
        <v>326</v>
      </c>
      <c r="G17" s="126" t="s">
        <v>327</v>
      </c>
      <c r="H17" s="126" t="s">
        <v>328</v>
      </c>
      <c r="I17" s="126" t="s">
        <v>329</v>
      </c>
    </row>
    <row r="18" spans="1:9" ht="63" customHeight="1">
      <c r="A18" s="127">
        <v>8</v>
      </c>
      <c r="B18" s="518" t="s">
        <v>330</v>
      </c>
      <c r="C18" s="518"/>
      <c r="D18" s="518"/>
      <c r="E18" s="576" t="s">
        <v>331</v>
      </c>
      <c r="F18" s="576"/>
      <c r="G18" s="576"/>
      <c r="H18" s="576"/>
      <c r="I18" s="576"/>
    </row>
    <row r="19" spans="1:9" ht="53.45" customHeight="1">
      <c r="A19" s="124">
        <v>9</v>
      </c>
      <c r="B19" s="518" t="s">
        <v>332</v>
      </c>
      <c r="C19" s="518"/>
      <c r="D19" s="518"/>
      <c r="E19" s="580" t="s">
        <v>333</v>
      </c>
      <c r="F19" s="580"/>
      <c r="G19" s="580"/>
      <c r="H19" s="580"/>
      <c r="I19" s="580"/>
    </row>
    <row r="20" spans="1:9" ht="39.6" customHeight="1">
      <c r="A20" s="106"/>
      <c r="B20" s="518" t="s">
        <v>334</v>
      </c>
      <c r="C20" s="518"/>
      <c r="D20" s="518"/>
      <c r="E20" s="128">
        <v>8208159.2300000004</v>
      </c>
      <c r="F20" s="128">
        <v>8307469.54</v>
      </c>
      <c r="G20" s="128">
        <v>8498833.1900000013</v>
      </c>
      <c r="H20" s="128">
        <v>7438660.8099999996</v>
      </c>
      <c r="I20" s="128">
        <v>7475026.6500000004</v>
      </c>
    </row>
    <row r="21" spans="1:9" ht="31.15" customHeight="1">
      <c r="A21" s="573" t="s">
        <v>335</v>
      </c>
      <c r="B21" s="573"/>
      <c r="C21" s="573" t="s">
        <v>336</v>
      </c>
      <c r="D21" s="573"/>
      <c r="E21" s="573"/>
      <c r="F21" s="573"/>
      <c r="G21" s="573"/>
      <c r="H21" s="573"/>
      <c r="I21" s="573"/>
    </row>
  </sheetData>
  <mergeCells count="32">
    <mergeCell ref="A21:B21"/>
    <mergeCell ref="C21:I21"/>
    <mergeCell ref="B13:D13"/>
    <mergeCell ref="E13:I13"/>
    <mergeCell ref="B14:D14"/>
    <mergeCell ref="B15:D15"/>
    <mergeCell ref="B16:D16"/>
    <mergeCell ref="B17:D17"/>
    <mergeCell ref="B18:D18"/>
    <mergeCell ref="E18:I18"/>
    <mergeCell ref="B19:D19"/>
    <mergeCell ref="E19:I19"/>
    <mergeCell ref="B20:D20"/>
    <mergeCell ref="B12:D12"/>
    <mergeCell ref="E12:I12"/>
    <mergeCell ref="B4:I4"/>
    <mergeCell ref="B5:I5"/>
    <mergeCell ref="B6:G6"/>
    <mergeCell ref="H6:I6"/>
    <mergeCell ref="B7:D7"/>
    <mergeCell ref="B8:D8"/>
    <mergeCell ref="B9:D9"/>
    <mergeCell ref="B10:D10"/>
    <mergeCell ref="E10:I10"/>
    <mergeCell ref="B11:D11"/>
    <mergeCell ref="E11:I11"/>
    <mergeCell ref="A1:B1"/>
    <mergeCell ref="C1:I1"/>
    <mergeCell ref="A2:B2"/>
    <mergeCell ref="C2:I2"/>
    <mergeCell ref="B3:C3"/>
    <mergeCell ref="D3:I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6"/>
  <sheetViews>
    <sheetView workbookViewId="0">
      <selection sqref="A1:I16"/>
    </sheetView>
  </sheetViews>
  <sheetFormatPr defaultColWidth="8.83203125" defaultRowHeight="15.75"/>
  <cols>
    <col min="1" max="1" width="8" style="93" customWidth="1"/>
    <col min="2" max="2" width="13.1640625" style="93" customWidth="1"/>
    <col min="3" max="3" width="31.1640625" style="93" customWidth="1"/>
    <col min="4" max="5" width="13.1640625" style="93" customWidth="1"/>
    <col min="6" max="6" width="12" style="93" customWidth="1"/>
    <col min="7" max="7" width="14.1640625" style="93" customWidth="1"/>
    <col min="8" max="8" width="3.83203125" style="93" customWidth="1"/>
    <col min="9" max="9" width="9.33203125" style="93" customWidth="1"/>
    <col min="10" max="16384" width="8.83203125" style="93"/>
  </cols>
  <sheetData>
    <row r="1" spans="1:9" ht="21" customHeight="1">
      <c r="A1" s="585" t="s">
        <v>337</v>
      </c>
      <c r="B1" s="583"/>
      <c r="C1" s="583"/>
      <c r="D1" s="583"/>
      <c r="E1" s="583"/>
      <c r="F1" s="583"/>
      <c r="G1" s="583"/>
      <c r="H1" s="583"/>
      <c r="I1" s="584"/>
    </row>
    <row r="2" spans="1:9" ht="20.45" customHeight="1">
      <c r="A2" s="581" t="s">
        <v>338</v>
      </c>
      <c r="B2" s="582"/>
      <c r="C2" s="582"/>
      <c r="D2" s="582"/>
      <c r="E2" s="582"/>
      <c r="F2" s="582"/>
      <c r="G2" s="582"/>
      <c r="H2" s="582"/>
      <c r="I2" s="586"/>
    </row>
    <row r="3" spans="1:9" ht="48.75" customHeight="1">
      <c r="A3" s="587" t="s">
        <v>339</v>
      </c>
      <c r="B3" s="582"/>
      <c r="C3" s="582"/>
      <c r="D3" s="582"/>
      <c r="E3" s="582"/>
      <c r="F3" s="582"/>
      <c r="G3" s="582"/>
      <c r="H3" s="582"/>
      <c r="I3" s="586"/>
    </row>
    <row r="4" spans="1:9" ht="31.9" customHeight="1">
      <c r="A4" s="97"/>
      <c r="B4" s="588" t="s">
        <v>301</v>
      </c>
      <c r="C4" s="589"/>
      <c r="D4" s="589"/>
      <c r="E4" s="589"/>
      <c r="F4" s="589"/>
      <c r="G4" s="589"/>
      <c r="H4" s="589"/>
      <c r="I4" s="590"/>
    </row>
    <row r="5" spans="1:9" ht="24.6" customHeight="1">
      <c r="A5" s="97"/>
      <c r="B5" s="588" t="s">
        <v>340</v>
      </c>
      <c r="C5" s="589"/>
      <c r="D5" s="589"/>
      <c r="E5" s="589"/>
      <c r="F5" s="589"/>
      <c r="G5" s="589"/>
      <c r="H5" s="589"/>
      <c r="I5" s="590"/>
    </row>
    <row r="6" spans="1:9" ht="22.9" customHeight="1">
      <c r="A6" s="97"/>
      <c r="B6" s="581"/>
      <c r="C6" s="582"/>
      <c r="D6" s="583" t="s">
        <v>341</v>
      </c>
      <c r="E6" s="583"/>
      <c r="F6" s="583"/>
      <c r="G6" s="583"/>
      <c r="H6" s="583"/>
      <c r="I6" s="584"/>
    </row>
    <row r="7" spans="1:9" ht="28.15" customHeight="1">
      <c r="A7" s="97" t="s">
        <v>342</v>
      </c>
      <c r="B7" s="581" t="s">
        <v>343</v>
      </c>
      <c r="C7" s="586"/>
      <c r="D7" s="97" t="s">
        <v>344</v>
      </c>
      <c r="E7" s="97" t="s">
        <v>345</v>
      </c>
      <c r="F7" s="97" t="s">
        <v>346</v>
      </c>
      <c r="G7" s="97" t="s">
        <v>347</v>
      </c>
      <c r="H7" s="595" t="s">
        <v>348</v>
      </c>
      <c r="I7" s="509"/>
    </row>
    <row r="8" spans="1:9" ht="22.15" customHeight="1">
      <c r="A8" s="129">
        <v>1</v>
      </c>
      <c r="B8" s="596">
        <v>2</v>
      </c>
      <c r="C8" s="597"/>
      <c r="D8" s="129">
        <v>3</v>
      </c>
      <c r="E8" s="129">
        <v>4</v>
      </c>
      <c r="F8" s="129">
        <v>5</v>
      </c>
      <c r="G8" s="129">
        <v>6</v>
      </c>
      <c r="H8" s="596">
        <v>7</v>
      </c>
      <c r="I8" s="597"/>
    </row>
    <row r="9" spans="1:9" ht="33" customHeight="1">
      <c r="A9" s="130" t="s">
        <v>349</v>
      </c>
      <c r="B9" s="591" t="s">
        <v>350</v>
      </c>
      <c r="C9" s="592"/>
      <c r="D9" s="131" t="s">
        <v>13</v>
      </c>
      <c r="E9" s="131" t="s">
        <v>13</v>
      </c>
      <c r="F9" s="131" t="s">
        <v>13</v>
      </c>
      <c r="G9" s="131" t="s">
        <v>13</v>
      </c>
      <c r="H9" s="598" t="s">
        <v>13</v>
      </c>
      <c r="I9" s="599"/>
    </row>
    <row r="10" spans="1:9" ht="12" customHeight="1">
      <c r="A10" s="130"/>
      <c r="B10" s="132"/>
      <c r="C10" s="133"/>
      <c r="D10" s="131"/>
      <c r="E10" s="131"/>
      <c r="F10" s="131"/>
      <c r="G10" s="131"/>
      <c r="H10" s="598"/>
      <c r="I10" s="599"/>
    </row>
    <row r="11" spans="1:9" ht="37.15" customHeight="1">
      <c r="A11" s="130" t="s">
        <v>351</v>
      </c>
      <c r="B11" s="591" t="s">
        <v>352</v>
      </c>
      <c r="C11" s="592"/>
      <c r="D11" s="134">
        <v>245.59176909999999</v>
      </c>
      <c r="E11" s="134">
        <v>362.5352345</v>
      </c>
      <c r="F11" s="134">
        <v>369.07379049999997</v>
      </c>
      <c r="G11" s="134">
        <v>668.62572780000005</v>
      </c>
      <c r="H11" s="593">
        <v>389.95383720000001</v>
      </c>
      <c r="I11" s="594"/>
    </row>
    <row r="12" spans="1:9" ht="12" customHeight="1">
      <c r="A12" s="101"/>
      <c r="B12" s="591"/>
      <c r="C12" s="592"/>
      <c r="D12" s="97"/>
      <c r="E12" s="97"/>
      <c r="F12" s="97"/>
      <c r="G12" s="97"/>
      <c r="H12" s="595"/>
      <c r="I12" s="509"/>
    </row>
    <row r="13" spans="1:9" ht="37.9" customHeight="1">
      <c r="A13" s="130" t="s">
        <v>353</v>
      </c>
      <c r="B13" s="591" t="s">
        <v>354</v>
      </c>
      <c r="C13" s="592"/>
      <c r="D13" s="134">
        <v>245.59176909999999</v>
      </c>
      <c r="E13" s="134">
        <v>362.5352345</v>
      </c>
      <c r="F13" s="134">
        <v>369.07379049999997</v>
      </c>
      <c r="G13" s="134">
        <v>668.62572780000005</v>
      </c>
      <c r="H13" s="593">
        <v>389.95383720000001</v>
      </c>
      <c r="I13" s="594"/>
    </row>
    <row r="14" spans="1:9" ht="39" customHeight="1">
      <c r="A14" s="129"/>
      <c r="B14" s="600"/>
      <c r="C14" s="601"/>
      <c r="D14" s="600" t="s">
        <v>355</v>
      </c>
      <c r="E14" s="602"/>
      <c r="F14" s="602"/>
      <c r="G14" s="602"/>
      <c r="H14" s="602"/>
      <c r="I14" s="603"/>
    </row>
    <row r="15" spans="1:9" ht="16.149999999999999" customHeight="1">
      <c r="A15" s="101"/>
      <c r="B15" s="591" t="s">
        <v>356</v>
      </c>
      <c r="C15" s="592"/>
      <c r="D15" s="97"/>
      <c r="E15" s="97"/>
      <c r="F15" s="97"/>
      <c r="G15" s="97"/>
      <c r="H15" s="595"/>
      <c r="I15" s="509"/>
    </row>
    <row r="16" spans="1:9" ht="38.450000000000003" customHeight="1">
      <c r="A16" s="130" t="s">
        <v>357</v>
      </c>
      <c r="B16" s="604" t="s">
        <v>358</v>
      </c>
      <c r="C16" s="592"/>
      <c r="D16" s="131" t="s">
        <v>13</v>
      </c>
      <c r="E16" s="131" t="s">
        <v>13</v>
      </c>
      <c r="F16" s="131" t="s">
        <v>13</v>
      </c>
      <c r="G16" s="131" t="s">
        <v>13</v>
      </c>
      <c r="H16" s="598" t="s">
        <v>13</v>
      </c>
      <c r="I16" s="599"/>
    </row>
  </sheetData>
  <mergeCells count="26">
    <mergeCell ref="B14:C14"/>
    <mergeCell ref="D14:I14"/>
    <mergeCell ref="B15:C15"/>
    <mergeCell ref="H15:I15"/>
    <mergeCell ref="B16:C16"/>
    <mergeCell ref="H16:I16"/>
    <mergeCell ref="B13:C13"/>
    <mergeCell ref="H13:I13"/>
    <mergeCell ref="B7:C7"/>
    <mergeCell ref="H7:I7"/>
    <mergeCell ref="B8:C8"/>
    <mergeCell ref="H8:I8"/>
    <mergeCell ref="B9:C9"/>
    <mergeCell ref="H9:I9"/>
    <mergeCell ref="H10:I10"/>
    <mergeCell ref="B11:C11"/>
    <mergeCell ref="H11:I11"/>
    <mergeCell ref="B12:C12"/>
    <mergeCell ref="H12:I12"/>
    <mergeCell ref="B6:C6"/>
    <mergeCell ref="D6:I6"/>
    <mergeCell ref="A1:I1"/>
    <mergeCell ref="A2:I2"/>
    <mergeCell ref="A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58"/>
  <sheetViews>
    <sheetView topLeftCell="A46" workbookViewId="0">
      <selection sqref="A1:F58"/>
    </sheetView>
  </sheetViews>
  <sheetFormatPr defaultColWidth="8.83203125" defaultRowHeight="15.75"/>
  <cols>
    <col min="1" max="1" width="15.6640625" style="146" customWidth="1"/>
    <col min="2" max="2" width="17.83203125" style="146" bestFit="1" customWidth="1"/>
    <col min="3" max="3" width="68.5" style="146" customWidth="1"/>
    <col min="4" max="4" width="8.83203125" style="147" customWidth="1"/>
    <col min="5" max="5" width="10.5" style="147" hidden="1" customWidth="1"/>
    <col min="6" max="6" width="13.5" style="146" customWidth="1"/>
    <col min="7" max="16384" width="8.83203125" style="146"/>
  </cols>
  <sheetData>
    <row r="1" spans="1:9" s="93" customFormat="1" ht="31.9" customHeight="1">
      <c r="B1" s="605" t="s">
        <v>301</v>
      </c>
      <c r="C1" s="605"/>
      <c r="D1" s="605"/>
      <c r="E1" s="605"/>
      <c r="F1" s="605"/>
      <c r="G1" s="135"/>
      <c r="H1" s="135"/>
      <c r="I1" s="135"/>
    </row>
    <row r="2" spans="1:9" s="93" customFormat="1" ht="24.6" customHeight="1">
      <c r="B2" s="605" t="s">
        <v>340</v>
      </c>
      <c r="C2" s="605"/>
      <c r="D2" s="605"/>
      <c r="E2" s="605"/>
      <c r="F2" s="605"/>
      <c r="G2" s="135"/>
      <c r="H2" s="135"/>
      <c r="I2" s="135"/>
    </row>
    <row r="3" spans="1:9" s="135" customFormat="1" ht="25.15" customHeight="1">
      <c r="B3" s="606" t="s">
        <v>359</v>
      </c>
      <c r="C3" s="606"/>
      <c r="D3" s="606"/>
      <c r="E3" s="606"/>
      <c r="F3" s="606"/>
    </row>
    <row r="4" spans="1:9" s="135" customFormat="1" ht="31.15" customHeight="1">
      <c r="A4" s="136" t="s">
        <v>360</v>
      </c>
      <c r="B4" s="136" t="s">
        <v>361</v>
      </c>
      <c r="C4" s="136" t="s">
        <v>362</v>
      </c>
      <c r="D4" s="137" t="s">
        <v>363</v>
      </c>
      <c r="E4" s="136" t="s">
        <v>364</v>
      </c>
      <c r="F4" s="138" t="s">
        <v>365</v>
      </c>
    </row>
    <row r="5" spans="1:9" s="135" customFormat="1">
      <c r="A5" s="139">
        <v>41017</v>
      </c>
      <c r="B5" s="140">
        <v>814030013</v>
      </c>
      <c r="C5" s="141" t="s">
        <v>366</v>
      </c>
      <c r="D5" s="142">
        <v>1</v>
      </c>
      <c r="E5" s="143">
        <v>474735</v>
      </c>
      <c r="F5" s="144">
        <f>E5*D5</f>
        <v>474735</v>
      </c>
    </row>
    <row r="6" spans="1:9" s="135" customFormat="1">
      <c r="A6" s="139">
        <v>41236</v>
      </c>
      <c r="B6" s="140">
        <v>814040001</v>
      </c>
      <c r="C6" s="141" t="s">
        <v>367</v>
      </c>
      <c r="D6" s="142">
        <v>1</v>
      </c>
      <c r="E6" s="143">
        <v>139500</v>
      </c>
      <c r="F6" s="144">
        <f t="shared" ref="F6:F57" si="0">E6*D6</f>
        <v>139500</v>
      </c>
    </row>
    <row r="7" spans="1:9" s="135" customFormat="1">
      <c r="A7" s="139">
        <v>41114</v>
      </c>
      <c r="B7" s="140">
        <v>814210003</v>
      </c>
      <c r="C7" s="141" t="s">
        <v>368</v>
      </c>
      <c r="D7" s="142">
        <v>1</v>
      </c>
      <c r="E7" s="143">
        <v>283500</v>
      </c>
      <c r="F7" s="144">
        <f t="shared" si="0"/>
        <v>283500</v>
      </c>
    </row>
    <row r="8" spans="1:9" s="135" customFormat="1">
      <c r="A8" s="139">
        <v>41096</v>
      </c>
      <c r="B8" s="140">
        <v>810010009</v>
      </c>
      <c r="C8" s="141" t="s">
        <v>369</v>
      </c>
      <c r="D8" s="142">
        <v>1</v>
      </c>
      <c r="E8" s="143">
        <v>289680</v>
      </c>
      <c r="F8" s="144">
        <f t="shared" si="0"/>
        <v>289680</v>
      </c>
    </row>
    <row r="9" spans="1:9" s="135" customFormat="1">
      <c r="A9" s="139">
        <v>41200</v>
      </c>
      <c r="B9" s="140">
        <v>810010009</v>
      </c>
      <c r="C9" s="141" t="s">
        <v>369</v>
      </c>
      <c r="D9" s="142">
        <v>1</v>
      </c>
      <c r="E9" s="143">
        <v>301920</v>
      </c>
      <c r="F9" s="144">
        <f t="shared" si="0"/>
        <v>301920</v>
      </c>
    </row>
    <row r="10" spans="1:9" s="135" customFormat="1">
      <c r="A10" s="139">
        <v>41236</v>
      </c>
      <c r="B10" s="140">
        <v>810010009</v>
      </c>
      <c r="C10" s="141" t="s">
        <v>369</v>
      </c>
      <c r="D10" s="142">
        <v>1</v>
      </c>
      <c r="E10" s="143">
        <v>301920</v>
      </c>
      <c r="F10" s="144">
        <f t="shared" si="0"/>
        <v>301920</v>
      </c>
    </row>
    <row r="11" spans="1:9" s="135" customFormat="1">
      <c r="A11" s="139">
        <v>41348</v>
      </c>
      <c r="B11" s="140">
        <v>810010009</v>
      </c>
      <c r="C11" s="141" t="s">
        <v>369</v>
      </c>
      <c r="D11" s="142">
        <v>1</v>
      </c>
      <c r="E11" s="143">
        <v>301920</v>
      </c>
      <c r="F11" s="144">
        <f t="shared" si="0"/>
        <v>301920</v>
      </c>
    </row>
    <row r="12" spans="1:9" s="135" customFormat="1">
      <c r="A12" s="139">
        <v>41250</v>
      </c>
      <c r="B12" s="140">
        <v>810070035</v>
      </c>
      <c r="C12" s="141" t="s">
        <v>370</v>
      </c>
      <c r="D12" s="142">
        <v>1</v>
      </c>
      <c r="E12" s="143">
        <v>283147</v>
      </c>
      <c r="F12" s="144">
        <f t="shared" si="0"/>
        <v>283147</v>
      </c>
    </row>
    <row r="13" spans="1:9" s="135" customFormat="1">
      <c r="A13" s="139">
        <v>41342</v>
      </c>
      <c r="B13" s="140">
        <v>810070035</v>
      </c>
      <c r="C13" s="141" t="s">
        <v>370</v>
      </c>
      <c r="D13" s="142">
        <v>2</v>
      </c>
      <c r="E13" s="143">
        <v>283147</v>
      </c>
      <c r="F13" s="144">
        <f t="shared" si="0"/>
        <v>566294</v>
      </c>
    </row>
    <row r="14" spans="1:9" s="135" customFormat="1">
      <c r="A14" s="139">
        <v>41272</v>
      </c>
      <c r="B14" s="140">
        <v>810100004</v>
      </c>
      <c r="C14" s="141" t="s">
        <v>371</v>
      </c>
      <c r="D14" s="142">
        <v>2</v>
      </c>
      <c r="E14" s="143">
        <v>280098.46500000003</v>
      </c>
      <c r="F14" s="144">
        <f t="shared" si="0"/>
        <v>560196.93000000005</v>
      </c>
    </row>
    <row r="15" spans="1:9" s="135" customFormat="1">
      <c r="A15" s="139">
        <v>41272</v>
      </c>
      <c r="B15" s="140">
        <v>810100007</v>
      </c>
      <c r="C15" s="141" t="s">
        <v>372</v>
      </c>
      <c r="D15" s="142">
        <v>4</v>
      </c>
      <c r="E15" s="143">
        <v>190127.21</v>
      </c>
      <c r="F15" s="144">
        <f t="shared" si="0"/>
        <v>760508.84</v>
      </c>
    </row>
    <row r="16" spans="1:9" s="135" customFormat="1" ht="31.5">
      <c r="A16" s="139">
        <v>41323</v>
      </c>
      <c r="B16" s="140">
        <v>811100012</v>
      </c>
      <c r="C16" s="141" t="s">
        <v>373</v>
      </c>
      <c r="D16" s="142">
        <v>6</v>
      </c>
      <c r="E16" s="143">
        <v>321867</v>
      </c>
      <c r="F16" s="144">
        <f t="shared" si="0"/>
        <v>1931202</v>
      </c>
    </row>
    <row r="17" spans="1:6" s="135" customFormat="1">
      <c r="A17" s="139">
        <v>41053</v>
      </c>
      <c r="B17" s="140">
        <v>811160043</v>
      </c>
      <c r="C17" s="141" t="s">
        <v>374</v>
      </c>
      <c r="D17" s="142">
        <v>3</v>
      </c>
      <c r="E17" s="143">
        <v>152999.91666666666</v>
      </c>
      <c r="F17" s="144">
        <f t="shared" si="0"/>
        <v>458999.75</v>
      </c>
    </row>
    <row r="18" spans="1:6" s="135" customFormat="1" ht="31.5">
      <c r="A18" s="139">
        <v>41052</v>
      </c>
      <c r="B18" s="140">
        <v>818040014</v>
      </c>
      <c r="C18" s="141" t="s">
        <v>375</v>
      </c>
      <c r="D18" s="142">
        <v>1</v>
      </c>
      <c r="E18" s="143">
        <v>483000</v>
      </c>
      <c r="F18" s="144">
        <f t="shared" si="0"/>
        <v>483000</v>
      </c>
    </row>
    <row r="19" spans="1:6" s="135" customFormat="1" ht="31.5">
      <c r="A19" s="139">
        <v>41101</v>
      </c>
      <c r="B19" s="140">
        <v>818040014</v>
      </c>
      <c r="C19" s="141" t="s">
        <v>375</v>
      </c>
      <c r="D19" s="142">
        <v>1</v>
      </c>
      <c r="E19" s="143">
        <v>483000</v>
      </c>
      <c r="F19" s="144">
        <f t="shared" si="0"/>
        <v>483000</v>
      </c>
    </row>
    <row r="20" spans="1:6" s="135" customFormat="1" ht="31.5">
      <c r="A20" s="139">
        <v>41068</v>
      </c>
      <c r="B20" s="140">
        <v>818040015</v>
      </c>
      <c r="C20" s="141" t="s">
        <v>375</v>
      </c>
      <c r="D20" s="142">
        <v>1</v>
      </c>
      <c r="E20" s="143">
        <v>487000</v>
      </c>
      <c r="F20" s="144">
        <f t="shared" si="0"/>
        <v>487000</v>
      </c>
    </row>
    <row r="21" spans="1:6" s="135" customFormat="1" ht="31.5">
      <c r="A21" s="139">
        <v>41144</v>
      </c>
      <c r="B21" s="140">
        <v>818040015</v>
      </c>
      <c r="C21" s="141" t="s">
        <v>375</v>
      </c>
      <c r="D21" s="142">
        <v>1</v>
      </c>
      <c r="E21" s="143">
        <v>487000</v>
      </c>
      <c r="F21" s="144">
        <f t="shared" si="0"/>
        <v>487000</v>
      </c>
    </row>
    <row r="22" spans="1:6" s="135" customFormat="1" ht="31.5">
      <c r="A22" s="139">
        <v>41359</v>
      </c>
      <c r="B22" s="140">
        <v>818040015</v>
      </c>
      <c r="C22" s="141" t="s">
        <v>375</v>
      </c>
      <c r="D22" s="142">
        <v>1</v>
      </c>
      <c r="E22" s="143">
        <v>557423</v>
      </c>
      <c r="F22" s="144">
        <f t="shared" si="0"/>
        <v>557423</v>
      </c>
    </row>
    <row r="23" spans="1:6" s="135" customFormat="1" ht="31.5">
      <c r="A23" s="139">
        <v>41053</v>
      </c>
      <c r="B23" s="140">
        <v>818140008</v>
      </c>
      <c r="C23" s="141" t="s">
        <v>376</v>
      </c>
      <c r="D23" s="142">
        <v>1</v>
      </c>
      <c r="E23" s="143">
        <v>202922.25</v>
      </c>
      <c r="F23" s="144">
        <f t="shared" si="0"/>
        <v>202922.25</v>
      </c>
    </row>
    <row r="24" spans="1:6" s="135" customFormat="1" ht="31.5">
      <c r="A24" s="139">
        <v>41201</v>
      </c>
      <c r="B24" s="140">
        <v>818140008</v>
      </c>
      <c r="C24" s="141" t="s">
        <v>376</v>
      </c>
      <c r="D24" s="142">
        <v>20</v>
      </c>
      <c r="E24" s="143">
        <v>202012.0595</v>
      </c>
      <c r="F24" s="144">
        <f t="shared" si="0"/>
        <v>4040241.19</v>
      </c>
    </row>
    <row r="25" spans="1:6" s="135" customFormat="1" ht="31.5">
      <c r="A25" s="139">
        <v>41122</v>
      </c>
      <c r="B25" s="140">
        <v>812010242</v>
      </c>
      <c r="C25" s="141" t="s">
        <v>377</v>
      </c>
      <c r="D25" s="142">
        <v>1</v>
      </c>
      <c r="E25" s="143">
        <v>100495</v>
      </c>
      <c r="F25" s="144">
        <f t="shared" si="0"/>
        <v>100495</v>
      </c>
    </row>
    <row r="26" spans="1:6" s="135" customFormat="1">
      <c r="A26" s="139">
        <v>41223</v>
      </c>
      <c r="B26" s="140">
        <v>812210014</v>
      </c>
      <c r="C26" s="141" t="s">
        <v>378</v>
      </c>
      <c r="D26" s="142">
        <v>1</v>
      </c>
      <c r="E26" s="143">
        <v>475158.75</v>
      </c>
      <c r="F26" s="144">
        <f t="shared" si="0"/>
        <v>475158.75</v>
      </c>
    </row>
    <row r="27" spans="1:6" s="135" customFormat="1">
      <c r="A27" s="139">
        <v>41152</v>
      </c>
      <c r="B27" s="140">
        <v>812410196</v>
      </c>
      <c r="C27" s="141" t="s">
        <v>379</v>
      </c>
      <c r="D27" s="142">
        <v>1</v>
      </c>
      <c r="E27" s="143">
        <v>124231</v>
      </c>
      <c r="F27" s="144">
        <f t="shared" si="0"/>
        <v>124231</v>
      </c>
    </row>
    <row r="28" spans="1:6" s="135" customFormat="1">
      <c r="A28" s="139">
        <v>41156</v>
      </c>
      <c r="B28" s="140">
        <v>812410196</v>
      </c>
      <c r="C28" s="141" t="s">
        <v>379</v>
      </c>
      <c r="D28" s="142">
        <v>1</v>
      </c>
      <c r="E28" s="143">
        <v>124231</v>
      </c>
      <c r="F28" s="144">
        <f t="shared" si="0"/>
        <v>124231</v>
      </c>
    </row>
    <row r="29" spans="1:6" s="135" customFormat="1">
      <c r="A29" s="139">
        <v>41302</v>
      </c>
      <c r="B29" s="140">
        <v>813510012</v>
      </c>
      <c r="C29" s="141" t="s">
        <v>380</v>
      </c>
      <c r="D29" s="142">
        <v>1</v>
      </c>
      <c r="E29" s="143">
        <v>2234722</v>
      </c>
      <c r="F29" s="144">
        <f t="shared" si="0"/>
        <v>2234722</v>
      </c>
    </row>
    <row r="30" spans="1:6" s="135" customFormat="1">
      <c r="A30" s="139">
        <v>41302</v>
      </c>
      <c r="B30" s="140">
        <v>813510044</v>
      </c>
      <c r="C30" s="141" t="s">
        <v>381</v>
      </c>
      <c r="D30" s="142">
        <v>2</v>
      </c>
      <c r="E30" s="143">
        <v>131852.16</v>
      </c>
      <c r="F30" s="144">
        <f t="shared" si="0"/>
        <v>263704.32000000001</v>
      </c>
    </row>
    <row r="31" spans="1:6" s="135" customFormat="1">
      <c r="A31" s="139">
        <v>41209</v>
      </c>
      <c r="B31" s="140">
        <v>813510086</v>
      </c>
      <c r="C31" s="141" t="s">
        <v>382</v>
      </c>
      <c r="D31" s="142">
        <v>2</v>
      </c>
      <c r="E31" s="143">
        <v>105438.88</v>
      </c>
      <c r="F31" s="144">
        <f t="shared" si="0"/>
        <v>210877.76</v>
      </c>
    </row>
    <row r="32" spans="1:6" s="135" customFormat="1" ht="31.5">
      <c r="A32" s="139">
        <v>41209</v>
      </c>
      <c r="B32" s="140">
        <v>813520024</v>
      </c>
      <c r="C32" s="141" t="s">
        <v>383</v>
      </c>
      <c r="D32" s="142">
        <v>2</v>
      </c>
      <c r="E32" s="143">
        <v>105438.62</v>
      </c>
      <c r="F32" s="144">
        <f t="shared" si="0"/>
        <v>210877.24</v>
      </c>
    </row>
    <row r="33" spans="1:6" s="135" customFormat="1" ht="31.5">
      <c r="A33" s="139">
        <v>41145</v>
      </c>
      <c r="B33" s="140">
        <v>813650001</v>
      </c>
      <c r="C33" s="141" t="s">
        <v>384</v>
      </c>
      <c r="D33" s="142">
        <v>1</v>
      </c>
      <c r="E33" s="143">
        <v>927758</v>
      </c>
      <c r="F33" s="144">
        <f t="shared" si="0"/>
        <v>927758</v>
      </c>
    </row>
    <row r="34" spans="1:6" s="135" customFormat="1" ht="31.5">
      <c r="A34" s="139">
        <v>41145</v>
      </c>
      <c r="B34" s="140">
        <v>813650002</v>
      </c>
      <c r="C34" s="141" t="s">
        <v>384</v>
      </c>
      <c r="D34" s="142">
        <v>1</v>
      </c>
      <c r="E34" s="143">
        <v>137865</v>
      </c>
      <c r="F34" s="144">
        <f t="shared" si="0"/>
        <v>137865</v>
      </c>
    </row>
    <row r="35" spans="1:6" s="135" customFormat="1" ht="31.5">
      <c r="A35" s="139">
        <v>41193</v>
      </c>
      <c r="B35" s="140">
        <v>813650002</v>
      </c>
      <c r="C35" s="141" t="s">
        <v>384</v>
      </c>
      <c r="D35" s="142">
        <v>1</v>
      </c>
      <c r="E35" s="143">
        <v>137865</v>
      </c>
      <c r="F35" s="144">
        <f t="shared" si="0"/>
        <v>137865</v>
      </c>
    </row>
    <row r="36" spans="1:6" s="135" customFormat="1">
      <c r="A36" s="139">
        <v>41145</v>
      </c>
      <c r="B36" s="140">
        <v>813650017</v>
      </c>
      <c r="C36" s="141" t="s">
        <v>385</v>
      </c>
      <c r="D36" s="142">
        <v>1</v>
      </c>
      <c r="E36" s="143">
        <v>300900</v>
      </c>
      <c r="F36" s="144">
        <f t="shared" si="0"/>
        <v>300900</v>
      </c>
    </row>
    <row r="37" spans="1:6" s="135" customFormat="1">
      <c r="A37" s="139">
        <v>41145</v>
      </c>
      <c r="B37" s="140">
        <v>813650030</v>
      </c>
      <c r="C37" s="141" t="s">
        <v>386</v>
      </c>
      <c r="D37" s="142">
        <v>1</v>
      </c>
      <c r="E37" s="143">
        <v>234600</v>
      </c>
      <c r="F37" s="144">
        <f t="shared" si="0"/>
        <v>234600</v>
      </c>
    </row>
    <row r="38" spans="1:6" s="135" customFormat="1">
      <c r="A38" s="139">
        <v>41201</v>
      </c>
      <c r="B38" s="140">
        <v>818030030</v>
      </c>
      <c r="C38" s="141" t="s">
        <v>387</v>
      </c>
      <c r="D38" s="142">
        <v>1</v>
      </c>
      <c r="E38" s="143">
        <v>108130.33</v>
      </c>
      <c r="F38" s="144">
        <f t="shared" si="0"/>
        <v>108130.33</v>
      </c>
    </row>
    <row r="39" spans="1:6" s="135" customFormat="1" ht="31.5">
      <c r="A39" s="139">
        <v>41010</v>
      </c>
      <c r="B39" s="140">
        <v>818140008</v>
      </c>
      <c r="C39" s="141" t="s">
        <v>376</v>
      </c>
      <c r="D39" s="142">
        <v>1</v>
      </c>
      <c r="E39" s="143">
        <v>202922.25</v>
      </c>
      <c r="F39" s="144">
        <f t="shared" si="0"/>
        <v>202922.25</v>
      </c>
    </row>
    <row r="40" spans="1:6" s="135" customFormat="1" ht="31.5">
      <c r="A40" s="139">
        <v>41016</v>
      </c>
      <c r="B40" s="140">
        <v>818140008</v>
      </c>
      <c r="C40" s="141" t="s">
        <v>376</v>
      </c>
      <c r="D40" s="142">
        <v>2</v>
      </c>
      <c r="E40" s="143">
        <v>202922.25</v>
      </c>
      <c r="F40" s="144">
        <f t="shared" si="0"/>
        <v>405844.5</v>
      </c>
    </row>
    <row r="41" spans="1:6" s="135" customFormat="1" ht="31.5">
      <c r="A41" s="139">
        <v>41088</v>
      </c>
      <c r="B41" s="140">
        <v>818140008</v>
      </c>
      <c r="C41" s="141" t="s">
        <v>376</v>
      </c>
      <c r="D41" s="142">
        <v>2</v>
      </c>
      <c r="E41" s="143">
        <v>202922.25</v>
      </c>
      <c r="F41" s="144">
        <f t="shared" si="0"/>
        <v>405844.5</v>
      </c>
    </row>
    <row r="42" spans="1:6" s="135" customFormat="1" ht="31.5">
      <c r="A42" s="139">
        <v>41114</v>
      </c>
      <c r="B42" s="140">
        <v>818140008</v>
      </c>
      <c r="C42" s="141" t="s">
        <v>376</v>
      </c>
      <c r="D42" s="142">
        <v>1</v>
      </c>
      <c r="E42" s="143">
        <v>202922.25</v>
      </c>
      <c r="F42" s="144">
        <f t="shared" si="0"/>
        <v>202922.25</v>
      </c>
    </row>
    <row r="43" spans="1:6" s="135" customFormat="1" ht="31.5">
      <c r="A43" s="139">
        <v>41167</v>
      </c>
      <c r="B43" s="140">
        <v>818140008</v>
      </c>
      <c r="C43" s="141" t="s">
        <v>376</v>
      </c>
      <c r="D43" s="142">
        <v>1</v>
      </c>
      <c r="E43" s="143">
        <v>202012.06</v>
      </c>
      <c r="F43" s="144">
        <f t="shared" si="0"/>
        <v>202012.06</v>
      </c>
    </row>
    <row r="44" spans="1:6" s="135" customFormat="1">
      <c r="A44" s="139">
        <v>41113</v>
      </c>
      <c r="B44" s="140">
        <v>818150014</v>
      </c>
      <c r="C44" s="141" t="s">
        <v>388</v>
      </c>
      <c r="D44" s="142">
        <v>1</v>
      </c>
      <c r="E44" s="143">
        <v>116899.29</v>
      </c>
      <c r="F44" s="144">
        <f t="shared" si="0"/>
        <v>116899.29</v>
      </c>
    </row>
    <row r="45" spans="1:6" s="135" customFormat="1" ht="31.5">
      <c r="A45" s="139">
        <v>41234</v>
      </c>
      <c r="B45" s="140">
        <v>830450019</v>
      </c>
      <c r="C45" s="141" t="s">
        <v>389</v>
      </c>
      <c r="D45" s="142">
        <v>2</v>
      </c>
      <c r="E45" s="143">
        <v>137528.5</v>
      </c>
      <c r="F45" s="144">
        <f t="shared" si="0"/>
        <v>275057</v>
      </c>
    </row>
    <row r="46" spans="1:6" s="135" customFormat="1" ht="31.5">
      <c r="A46" s="139">
        <v>41253</v>
      </c>
      <c r="B46" s="140">
        <v>833260002</v>
      </c>
      <c r="C46" s="141" t="s">
        <v>390</v>
      </c>
      <c r="D46" s="142">
        <v>1</v>
      </c>
      <c r="E46" s="143">
        <v>148645</v>
      </c>
      <c r="F46" s="144">
        <f t="shared" si="0"/>
        <v>148645</v>
      </c>
    </row>
    <row r="47" spans="1:6" s="135" customFormat="1" ht="31.5">
      <c r="A47" s="139">
        <v>41102</v>
      </c>
      <c r="B47" s="140">
        <v>835810108</v>
      </c>
      <c r="C47" s="141" t="s">
        <v>391</v>
      </c>
      <c r="D47" s="142">
        <v>1</v>
      </c>
      <c r="E47" s="143">
        <v>115727.77</v>
      </c>
      <c r="F47" s="144">
        <f t="shared" si="0"/>
        <v>115727.77</v>
      </c>
    </row>
    <row r="48" spans="1:6" s="135" customFormat="1">
      <c r="A48" s="139">
        <v>41102</v>
      </c>
      <c r="B48" s="140">
        <v>835810109</v>
      </c>
      <c r="C48" s="141" t="s">
        <v>392</v>
      </c>
      <c r="D48" s="142">
        <v>1</v>
      </c>
      <c r="E48" s="143">
        <v>426841.59999999998</v>
      </c>
      <c r="F48" s="144">
        <f t="shared" si="0"/>
        <v>426841.59999999998</v>
      </c>
    </row>
    <row r="49" spans="1:6" s="135" customFormat="1">
      <c r="A49" s="139">
        <v>41102</v>
      </c>
      <c r="B49" s="140">
        <v>835810110</v>
      </c>
      <c r="C49" s="141" t="s">
        <v>393</v>
      </c>
      <c r="D49" s="142">
        <v>1</v>
      </c>
      <c r="E49" s="143">
        <v>181174.63</v>
      </c>
      <c r="F49" s="144">
        <f t="shared" si="0"/>
        <v>181174.63</v>
      </c>
    </row>
    <row r="50" spans="1:6" s="135" customFormat="1" ht="31.5">
      <c r="A50" s="139">
        <v>41223</v>
      </c>
      <c r="B50" s="140">
        <v>835810111</v>
      </c>
      <c r="C50" s="141" t="s">
        <v>394</v>
      </c>
      <c r="D50" s="142">
        <v>1</v>
      </c>
      <c r="E50" s="143">
        <v>328281</v>
      </c>
      <c r="F50" s="144">
        <f t="shared" si="0"/>
        <v>328281</v>
      </c>
    </row>
    <row r="51" spans="1:6" s="135" customFormat="1">
      <c r="A51" s="139">
        <v>41205</v>
      </c>
      <c r="B51" s="140">
        <v>836500094</v>
      </c>
      <c r="C51" s="141" t="s">
        <v>395</v>
      </c>
      <c r="D51" s="142">
        <v>1</v>
      </c>
      <c r="E51" s="143">
        <v>1032620</v>
      </c>
      <c r="F51" s="144">
        <f t="shared" si="0"/>
        <v>1032620</v>
      </c>
    </row>
    <row r="52" spans="1:6" s="135" customFormat="1">
      <c r="A52" s="139">
        <v>41162</v>
      </c>
      <c r="B52" s="140">
        <v>852020074</v>
      </c>
      <c r="C52" s="141" t="s">
        <v>396</v>
      </c>
      <c r="D52" s="142">
        <v>1</v>
      </c>
      <c r="E52" s="143">
        <v>189441.8</v>
      </c>
      <c r="F52" s="144">
        <f t="shared" si="0"/>
        <v>189441.8</v>
      </c>
    </row>
    <row r="53" spans="1:6" s="135" customFormat="1">
      <c r="A53" s="139">
        <v>41352</v>
      </c>
      <c r="B53" s="140">
        <v>852030084</v>
      </c>
      <c r="C53" s="141" t="s">
        <v>397</v>
      </c>
      <c r="D53" s="142">
        <v>2</v>
      </c>
      <c r="E53" s="143">
        <v>158661.1</v>
      </c>
      <c r="F53" s="144">
        <f t="shared" si="0"/>
        <v>317322.2</v>
      </c>
    </row>
    <row r="54" spans="1:6" s="135" customFormat="1">
      <c r="A54" s="139">
        <v>41327</v>
      </c>
      <c r="B54" s="140">
        <v>852510090</v>
      </c>
      <c r="C54" s="141" t="s">
        <v>398</v>
      </c>
      <c r="D54" s="142">
        <v>2</v>
      </c>
      <c r="E54" s="143">
        <v>264169.59999999998</v>
      </c>
      <c r="F54" s="144">
        <f t="shared" si="0"/>
        <v>528339.19999999995</v>
      </c>
    </row>
    <row r="55" spans="1:6" s="135" customFormat="1">
      <c r="A55" s="139">
        <v>41320</v>
      </c>
      <c r="B55" s="140">
        <v>852520032</v>
      </c>
      <c r="C55" s="141" t="s">
        <v>399</v>
      </c>
      <c r="D55" s="142">
        <v>1</v>
      </c>
      <c r="E55" s="143">
        <v>194386.5</v>
      </c>
      <c r="F55" s="144">
        <f t="shared" si="0"/>
        <v>194386.5</v>
      </c>
    </row>
    <row r="56" spans="1:6" s="135" customFormat="1">
      <c r="A56" s="139">
        <v>41320</v>
      </c>
      <c r="B56" s="140">
        <v>852520033</v>
      </c>
      <c r="C56" s="141" t="s">
        <v>400</v>
      </c>
      <c r="D56" s="142">
        <v>1</v>
      </c>
      <c r="E56" s="143">
        <v>149685</v>
      </c>
      <c r="F56" s="144">
        <f t="shared" si="0"/>
        <v>149685</v>
      </c>
    </row>
    <row r="57" spans="1:6" s="135" customFormat="1">
      <c r="A57" s="139">
        <v>41327</v>
      </c>
      <c r="B57" s="140">
        <v>852520033</v>
      </c>
      <c r="C57" s="141" t="s">
        <v>400</v>
      </c>
      <c r="D57" s="142">
        <v>1</v>
      </c>
      <c r="E57" s="143">
        <v>149685</v>
      </c>
      <c r="F57" s="144">
        <f t="shared" si="0"/>
        <v>149685</v>
      </c>
    </row>
    <row r="58" spans="1:6" s="135" customFormat="1">
      <c r="D58" s="607" t="s">
        <v>401</v>
      </c>
      <c r="E58" s="607"/>
      <c r="F58" s="145">
        <f>SUM(F5:F57)</f>
        <v>24559176.909999993</v>
      </c>
    </row>
  </sheetData>
  <mergeCells count="4">
    <mergeCell ref="B1:F1"/>
    <mergeCell ref="B2:F2"/>
    <mergeCell ref="B3:F3"/>
    <mergeCell ref="D58:E58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F81"/>
  <sheetViews>
    <sheetView topLeftCell="A69" workbookViewId="0">
      <selection sqref="A1:F81"/>
    </sheetView>
  </sheetViews>
  <sheetFormatPr defaultColWidth="8.83203125" defaultRowHeight="15.75"/>
  <cols>
    <col min="1" max="1" width="13.5" style="146" customWidth="1"/>
    <col min="2" max="2" width="16.6640625" style="146" customWidth="1"/>
    <col min="3" max="3" width="49.83203125" style="146" customWidth="1"/>
    <col min="4" max="4" width="9.5" style="146" customWidth="1"/>
    <col min="5" max="5" width="11" style="146" hidden="1" customWidth="1"/>
    <col min="6" max="6" width="18.5" style="146" customWidth="1"/>
    <col min="7" max="16384" width="8.83203125" style="146"/>
  </cols>
  <sheetData>
    <row r="1" spans="1:6">
      <c r="B1" s="605" t="s">
        <v>301</v>
      </c>
      <c r="C1" s="605"/>
      <c r="D1" s="605"/>
      <c r="E1" s="605"/>
      <c r="F1" s="605"/>
    </row>
    <row r="2" spans="1:6">
      <c r="B2" s="605" t="s">
        <v>340</v>
      </c>
      <c r="C2" s="605"/>
      <c r="D2" s="605"/>
      <c r="E2" s="605"/>
      <c r="F2" s="605"/>
    </row>
    <row r="3" spans="1:6" s="135" customFormat="1" ht="15.75" customHeight="1">
      <c r="B3" s="605" t="s">
        <v>402</v>
      </c>
      <c r="C3" s="605"/>
      <c r="D3" s="605"/>
      <c r="E3" s="605"/>
      <c r="F3" s="605"/>
    </row>
    <row r="4" spans="1:6" s="135" customFormat="1">
      <c r="A4" s="148"/>
      <c r="B4" s="148"/>
      <c r="C4" s="148"/>
      <c r="D4" s="148"/>
      <c r="E4" s="148"/>
      <c r="F4" s="148"/>
    </row>
    <row r="5" spans="1:6" s="135" customFormat="1" ht="31.5">
      <c r="A5" s="136" t="s">
        <v>360</v>
      </c>
      <c r="B5" s="136" t="s">
        <v>361</v>
      </c>
      <c r="C5" s="136" t="s">
        <v>362</v>
      </c>
      <c r="D5" s="137" t="s">
        <v>363</v>
      </c>
      <c r="E5" s="136" t="s">
        <v>364</v>
      </c>
      <c r="F5" s="138" t="s">
        <v>365</v>
      </c>
    </row>
    <row r="6" spans="1:6" s="135" customFormat="1">
      <c r="A6" s="139">
        <v>41429</v>
      </c>
      <c r="B6" s="140">
        <v>160010010</v>
      </c>
      <c r="C6" s="141" t="s">
        <v>403</v>
      </c>
      <c r="D6" s="142">
        <v>2</v>
      </c>
      <c r="E6" s="149">
        <v>963</v>
      </c>
      <c r="F6" s="144">
        <f>E6*D6</f>
        <v>1926</v>
      </c>
    </row>
    <row r="7" spans="1:6" s="135" customFormat="1" ht="31.5">
      <c r="A7" s="139">
        <v>41667</v>
      </c>
      <c r="B7" s="140">
        <v>310150032</v>
      </c>
      <c r="C7" s="141" t="s">
        <v>404</v>
      </c>
      <c r="D7" s="142">
        <v>1</v>
      </c>
      <c r="E7" s="149">
        <v>221550</v>
      </c>
      <c r="F7" s="144">
        <f t="shared" ref="F7:F70" si="0">E7*D7</f>
        <v>221550</v>
      </c>
    </row>
    <row r="8" spans="1:6" s="135" customFormat="1" ht="31.5">
      <c r="A8" s="139">
        <v>41579</v>
      </c>
      <c r="B8" s="140">
        <v>814030011</v>
      </c>
      <c r="C8" s="141" t="s">
        <v>405</v>
      </c>
      <c r="D8" s="142">
        <v>1</v>
      </c>
      <c r="E8" s="149">
        <v>1980332</v>
      </c>
      <c r="F8" s="144">
        <f t="shared" si="0"/>
        <v>1980332</v>
      </c>
    </row>
    <row r="9" spans="1:6" s="135" customFormat="1">
      <c r="A9" s="139">
        <v>41655</v>
      </c>
      <c r="B9" s="140">
        <v>814040001</v>
      </c>
      <c r="C9" s="141" t="s">
        <v>367</v>
      </c>
      <c r="D9" s="142">
        <v>1</v>
      </c>
      <c r="E9" s="149">
        <v>139500</v>
      </c>
      <c r="F9" s="144">
        <f t="shared" si="0"/>
        <v>139500</v>
      </c>
    </row>
    <row r="10" spans="1:6" s="135" customFormat="1">
      <c r="A10" s="139">
        <v>41537</v>
      </c>
      <c r="B10" s="140">
        <v>814040046</v>
      </c>
      <c r="C10" s="141" t="s">
        <v>406</v>
      </c>
      <c r="D10" s="142">
        <v>1</v>
      </c>
      <c r="E10" s="149">
        <v>114057</v>
      </c>
      <c r="F10" s="144">
        <f t="shared" si="0"/>
        <v>114057</v>
      </c>
    </row>
    <row r="11" spans="1:6" s="135" customFormat="1">
      <c r="A11" s="139">
        <v>41669</v>
      </c>
      <c r="B11" s="140">
        <v>814210003</v>
      </c>
      <c r="C11" s="141" t="s">
        <v>368</v>
      </c>
      <c r="D11" s="142">
        <v>1</v>
      </c>
      <c r="E11" s="149">
        <v>143259</v>
      </c>
      <c r="F11" s="144">
        <f t="shared" si="0"/>
        <v>143259</v>
      </c>
    </row>
    <row r="12" spans="1:6" s="135" customFormat="1">
      <c r="A12" s="139">
        <v>41669</v>
      </c>
      <c r="B12" s="140">
        <v>814410020</v>
      </c>
      <c r="C12" s="141" t="s">
        <v>407</v>
      </c>
      <c r="D12" s="142">
        <v>1</v>
      </c>
      <c r="E12" s="149">
        <v>117638</v>
      </c>
      <c r="F12" s="144">
        <f t="shared" si="0"/>
        <v>117638</v>
      </c>
    </row>
    <row r="13" spans="1:6" s="135" customFormat="1">
      <c r="A13" s="139">
        <v>41526</v>
      </c>
      <c r="B13" s="140">
        <v>814460002</v>
      </c>
      <c r="C13" s="141" t="s">
        <v>408</v>
      </c>
      <c r="D13" s="142">
        <v>1</v>
      </c>
      <c r="E13" s="149">
        <v>384948</v>
      </c>
      <c r="F13" s="144">
        <f t="shared" si="0"/>
        <v>384948</v>
      </c>
    </row>
    <row r="14" spans="1:6" s="135" customFormat="1">
      <c r="A14" s="139">
        <v>41398</v>
      </c>
      <c r="B14" s="140">
        <v>814510237</v>
      </c>
      <c r="C14" s="141" t="s">
        <v>409</v>
      </c>
      <c r="D14" s="142">
        <v>1</v>
      </c>
      <c r="E14" s="149">
        <v>126877</v>
      </c>
      <c r="F14" s="144">
        <f t="shared" si="0"/>
        <v>126877</v>
      </c>
    </row>
    <row r="15" spans="1:6" s="135" customFormat="1">
      <c r="A15" s="139">
        <v>41402</v>
      </c>
      <c r="B15" s="140">
        <v>814510275</v>
      </c>
      <c r="C15" s="141" t="s">
        <v>410</v>
      </c>
      <c r="D15" s="142">
        <v>1</v>
      </c>
      <c r="E15" s="149">
        <v>1244880</v>
      </c>
      <c r="F15" s="144">
        <f t="shared" si="0"/>
        <v>1244880</v>
      </c>
    </row>
    <row r="16" spans="1:6" s="135" customFormat="1">
      <c r="A16" s="139">
        <v>41556</v>
      </c>
      <c r="B16" s="140">
        <v>814510292</v>
      </c>
      <c r="C16" s="141" t="s">
        <v>411</v>
      </c>
      <c r="D16" s="142">
        <v>1</v>
      </c>
      <c r="E16" s="149">
        <v>257680.5</v>
      </c>
      <c r="F16" s="144">
        <f t="shared" si="0"/>
        <v>257680.5</v>
      </c>
    </row>
    <row r="17" spans="1:6" s="135" customFormat="1">
      <c r="A17" s="139">
        <v>41713</v>
      </c>
      <c r="B17" s="140">
        <v>814510292</v>
      </c>
      <c r="C17" s="141" t="s">
        <v>411</v>
      </c>
      <c r="D17" s="142">
        <v>1</v>
      </c>
      <c r="E17" s="149">
        <v>257680.5</v>
      </c>
      <c r="F17" s="144">
        <f t="shared" si="0"/>
        <v>257680.5</v>
      </c>
    </row>
    <row r="18" spans="1:6" s="135" customFormat="1">
      <c r="A18" s="139">
        <v>41701</v>
      </c>
      <c r="B18" s="140">
        <v>814510297</v>
      </c>
      <c r="C18" s="141" t="s">
        <v>412</v>
      </c>
      <c r="D18" s="142">
        <v>1</v>
      </c>
      <c r="E18" s="149">
        <v>130379</v>
      </c>
      <c r="F18" s="144">
        <f t="shared" si="0"/>
        <v>130379</v>
      </c>
    </row>
    <row r="19" spans="1:6" s="135" customFormat="1">
      <c r="A19" s="139">
        <v>41540</v>
      </c>
      <c r="B19" s="140">
        <v>810010009</v>
      </c>
      <c r="C19" s="141" t="s">
        <v>369</v>
      </c>
      <c r="D19" s="142">
        <v>1</v>
      </c>
      <c r="E19" s="149">
        <v>301920</v>
      </c>
      <c r="F19" s="144">
        <f t="shared" si="0"/>
        <v>301920</v>
      </c>
    </row>
    <row r="20" spans="1:6" s="135" customFormat="1">
      <c r="A20" s="139">
        <v>41643</v>
      </c>
      <c r="B20" s="140">
        <v>810010009</v>
      </c>
      <c r="C20" s="141" t="s">
        <v>369</v>
      </c>
      <c r="D20" s="142">
        <v>2</v>
      </c>
      <c r="E20" s="149">
        <v>301920</v>
      </c>
      <c r="F20" s="144">
        <f t="shared" si="0"/>
        <v>603840</v>
      </c>
    </row>
    <row r="21" spans="1:6" s="135" customFormat="1">
      <c r="A21" s="139">
        <v>41548</v>
      </c>
      <c r="B21" s="140">
        <v>810070035</v>
      </c>
      <c r="C21" s="141" t="s">
        <v>370</v>
      </c>
      <c r="D21" s="142">
        <v>2</v>
      </c>
      <c r="E21" s="149">
        <v>278250</v>
      </c>
      <c r="F21" s="144">
        <f t="shared" si="0"/>
        <v>556500</v>
      </c>
    </row>
    <row r="22" spans="1:6" s="135" customFormat="1">
      <c r="A22" s="139">
        <v>41619</v>
      </c>
      <c r="B22" s="140">
        <v>810070035</v>
      </c>
      <c r="C22" s="141" t="s">
        <v>370</v>
      </c>
      <c r="D22" s="142">
        <v>1</v>
      </c>
      <c r="E22" s="149">
        <v>278250</v>
      </c>
      <c r="F22" s="144">
        <f t="shared" si="0"/>
        <v>278250</v>
      </c>
    </row>
    <row r="23" spans="1:6" s="135" customFormat="1">
      <c r="A23" s="139">
        <v>41710</v>
      </c>
      <c r="B23" s="140">
        <v>810070035</v>
      </c>
      <c r="C23" s="141" t="s">
        <v>370</v>
      </c>
      <c r="D23" s="142">
        <v>1</v>
      </c>
      <c r="E23" s="149">
        <v>278250</v>
      </c>
      <c r="F23" s="144">
        <f t="shared" si="0"/>
        <v>278250</v>
      </c>
    </row>
    <row r="24" spans="1:6" s="135" customFormat="1" ht="31.5">
      <c r="A24" s="139">
        <v>41585</v>
      </c>
      <c r="B24" s="140">
        <v>810100004</v>
      </c>
      <c r="C24" s="141" t="s">
        <v>371</v>
      </c>
      <c r="D24" s="142">
        <v>2</v>
      </c>
      <c r="E24" s="149">
        <v>307282.74</v>
      </c>
      <c r="F24" s="144">
        <f t="shared" si="0"/>
        <v>614565.48</v>
      </c>
    </row>
    <row r="25" spans="1:6" s="135" customFormat="1" ht="31.5">
      <c r="A25" s="139">
        <v>41585</v>
      </c>
      <c r="B25" s="140">
        <v>810100007</v>
      </c>
      <c r="C25" s="141" t="s">
        <v>372</v>
      </c>
      <c r="D25" s="142">
        <v>2</v>
      </c>
      <c r="E25" s="149">
        <v>205641.31</v>
      </c>
      <c r="F25" s="144">
        <f t="shared" si="0"/>
        <v>411282.62</v>
      </c>
    </row>
    <row r="26" spans="1:6" s="135" customFormat="1" ht="47.25">
      <c r="A26" s="139">
        <v>41491</v>
      </c>
      <c r="B26" s="140">
        <v>811100011</v>
      </c>
      <c r="C26" s="141" t="s">
        <v>413</v>
      </c>
      <c r="D26" s="142">
        <v>1</v>
      </c>
      <c r="E26" s="149">
        <v>296348.75</v>
      </c>
      <c r="F26" s="144">
        <f t="shared" si="0"/>
        <v>296348.75</v>
      </c>
    </row>
    <row r="27" spans="1:6" s="135" customFormat="1" ht="47.25">
      <c r="A27" s="139">
        <v>41517</v>
      </c>
      <c r="B27" s="140">
        <v>811100011</v>
      </c>
      <c r="C27" s="141" t="s">
        <v>413</v>
      </c>
      <c r="D27" s="142">
        <v>1</v>
      </c>
      <c r="E27" s="149">
        <v>296348.75</v>
      </c>
      <c r="F27" s="144">
        <f t="shared" si="0"/>
        <v>296348.75</v>
      </c>
    </row>
    <row r="28" spans="1:6" s="135" customFormat="1" ht="47.25">
      <c r="A28" s="139">
        <v>41559</v>
      </c>
      <c r="B28" s="140">
        <v>811100011</v>
      </c>
      <c r="C28" s="141" t="s">
        <v>413</v>
      </c>
      <c r="D28" s="142">
        <v>1</v>
      </c>
      <c r="E28" s="149">
        <v>296348.75</v>
      </c>
      <c r="F28" s="144">
        <f t="shared" si="0"/>
        <v>296348.75</v>
      </c>
    </row>
    <row r="29" spans="1:6" s="135" customFormat="1" ht="47.25">
      <c r="A29" s="139">
        <v>41587</v>
      </c>
      <c r="B29" s="140">
        <v>811100011</v>
      </c>
      <c r="C29" s="141" t="s">
        <v>413</v>
      </c>
      <c r="D29" s="142">
        <v>1</v>
      </c>
      <c r="E29" s="149">
        <v>296348.75</v>
      </c>
      <c r="F29" s="144">
        <f t="shared" si="0"/>
        <v>296348.75</v>
      </c>
    </row>
    <row r="30" spans="1:6" s="135" customFormat="1" ht="31.5">
      <c r="A30" s="139">
        <v>41390</v>
      </c>
      <c r="B30" s="140">
        <v>818040014</v>
      </c>
      <c r="C30" s="141" t="s">
        <v>375</v>
      </c>
      <c r="D30" s="142">
        <v>1</v>
      </c>
      <c r="E30" s="149">
        <v>545350</v>
      </c>
      <c r="F30" s="144">
        <f t="shared" si="0"/>
        <v>545350</v>
      </c>
    </row>
    <row r="31" spans="1:6" s="135" customFormat="1" ht="31.5">
      <c r="A31" s="139">
        <v>41419</v>
      </c>
      <c r="B31" s="140">
        <v>818040014</v>
      </c>
      <c r="C31" s="141" t="s">
        <v>375</v>
      </c>
      <c r="D31" s="142">
        <v>1</v>
      </c>
      <c r="E31" s="149">
        <v>545350</v>
      </c>
      <c r="F31" s="144">
        <f t="shared" si="0"/>
        <v>545350</v>
      </c>
    </row>
    <row r="32" spans="1:6" s="135" customFormat="1" ht="31.5">
      <c r="A32" s="139">
        <v>41545</v>
      </c>
      <c r="B32" s="140">
        <v>818040014</v>
      </c>
      <c r="C32" s="141" t="s">
        <v>375</v>
      </c>
      <c r="D32" s="142">
        <v>2</v>
      </c>
      <c r="E32" s="149">
        <v>545350</v>
      </c>
      <c r="F32" s="144">
        <f t="shared" si="0"/>
        <v>1090700</v>
      </c>
    </row>
    <row r="33" spans="1:6" s="135" customFormat="1" ht="31.5">
      <c r="A33" s="139">
        <v>41545</v>
      </c>
      <c r="B33" s="140">
        <v>818040015</v>
      </c>
      <c r="C33" s="141" t="s">
        <v>375</v>
      </c>
      <c r="D33" s="142">
        <v>1</v>
      </c>
      <c r="E33" s="149">
        <v>557423</v>
      </c>
      <c r="F33" s="144">
        <f t="shared" si="0"/>
        <v>557423</v>
      </c>
    </row>
    <row r="34" spans="1:6" s="135" customFormat="1" ht="31.5">
      <c r="A34" s="139">
        <v>41552</v>
      </c>
      <c r="B34" s="140">
        <v>818040015</v>
      </c>
      <c r="C34" s="141" t="s">
        <v>375</v>
      </c>
      <c r="D34" s="142">
        <v>2</v>
      </c>
      <c r="E34" s="149">
        <v>557423</v>
      </c>
      <c r="F34" s="144">
        <f t="shared" si="0"/>
        <v>1114846</v>
      </c>
    </row>
    <row r="35" spans="1:6" s="135" customFormat="1" ht="31.5">
      <c r="A35" s="139">
        <v>41591</v>
      </c>
      <c r="B35" s="140">
        <v>818140008</v>
      </c>
      <c r="C35" s="141" t="s">
        <v>376</v>
      </c>
      <c r="D35" s="142">
        <v>4</v>
      </c>
      <c r="E35" s="149">
        <v>207275.59</v>
      </c>
      <c r="F35" s="144">
        <f t="shared" si="0"/>
        <v>829102.36</v>
      </c>
    </row>
    <row r="36" spans="1:6" s="135" customFormat="1" ht="31.5">
      <c r="A36" s="139">
        <v>41598</v>
      </c>
      <c r="B36" s="140">
        <v>818140008</v>
      </c>
      <c r="C36" s="141" t="s">
        <v>376</v>
      </c>
      <c r="D36" s="142">
        <v>3</v>
      </c>
      <c r="E36" s="149">
        <v>207275.59</v>
      </c>
      <c r="F36" s="144">
        <f t="shared" si="0"/>
        <v>621826.77</v>
      </c>
    </row>
    <row r="37" spans="1:6" s="135" customFormat="1" ht="31.5">
      <c r="A37" s="139">
        <v>41617</v>
      </c>
      <c r="B37" s="140">
        <v>818140008</v>
      </c>
      <c r="C37" s="141" t="s">
        <v>376</v>
      </c>
      <c r="D37" s="142">
        <v>3</v>
      </c>
      <c r="E37" s="149">
        <v>207275.59</v>
      </c>
      <c r="F37" s="144">
        <f t="shared" si="0"/>
        <v>621826.77</v>
      </c>
    </row>
    <row r="38" spans="1:6" s="135" customFormat="1">
      <c r="A38" s="139">
        <v>41493</v>
      </c>
      <c r="B38" s="140">
        <v>812210014</v>
      </c>
      <c r="C38" s="141" t="s">
        <v>378</v>
      </c>
      <c r="D38" s="142">
        <v>3</v>
      </c>
      <c r="E38" s="149">
        <v>590993.33333333337</v>
      </c>
      <c r="F38" s="144">
        <f t="shared" si="0"/>
        <v>1772980</v>
      </c>
    </row>
    <row r="39" spans="1:6" s="135" customFormat="1">
      <c r="A39" s="139">
        <v>41706</v>
      </c>
      <c r="B39" s="140">
        <v>812210014</v>
      </c>
      <c r="C39" s="141" t="s">
        <v>378</v>
      </c>
      <c r="D39" s="142">
        <v>3</v>
      </c>
      <c r="E39" s="149">
        <v>593797.33333333337</v>
      </c>
      <c r="F39" s="144">
        <f t="shared" si="0"/>
        <v>1781392</v>
      </c>
    </row>
    <row r="40" spans="1:6" s="135" customFormat="1">
      <c r="A40" s="139">
        <v>41373</v>
      </c>
      <c r="B40" s="140">
        <v>813510008</v>
      </c>
      <c r="C40" s="141" t="s">
        <v>414</v>
      </c>
      <c r="D40" s="142">
        <v>1</v>
      </c>
      <c r="E40" s="149">
        <v>176725.5</v>
      </c>
      <c r="F40" s="144">
        <f t="shared" si="0"/>
        <v>176725.5</v>
      </c>
    </row>
    <row r="41" spans="1:6" s="135" customFormat="1">
      <c r="A41" s="139">
        <v>41454</v>
      </c>
      <c r="B41" s="140">
        <v>813510008</v>
      </c>
      <c r="C41" s="141" t="s">
        <v>414</v>
      </c>
      <c r="D41" s="142">
        <v>2</v>
      </c>
      <c r="E41" s="149">
        <v>176725.5</v>
      </c>
      <c r="F41" s="144">
        <f t="shared" si="0"/>
        <v>353451</v>
      </c>
    </row>
    <row r="42" spans="1:6" s="135" customFormat="1" ht="31.5">
      <c r="A42" s="139">
        <v>41373</v>
      </c>
      <c r="B42" s="140">
        <v>813510079</v>
      </c>
      <c r="C42" s="141" t="s">
        <v>415</v>
      </c>
      <c r="D42" s="142">
        <v>1</v>
      </c>
      <c r="E42" s="149">
        <v>210089.5</v>
      </c>
      <c r="F42" s="144">
        <f t="shared" si="0"/>
        <v>210089.5</v>
      </c>
    </row>
    <row r="43" spans="1:6" s="135" customFormat="1" ht="31.5">
      <c r="A43" s="139">
        <v>41454</v>
      </c>
      <c r="B43" s="140">
        <v>813510079</v>
      </c>
      <c r="C43" s="141" t="s">
        <v>415</v>
      </c>
      <c r="D43" s="142">
        <v>2</v>
      </c>
      <c r="E43" s="149">
        <v>210089.25</v>
      </c>
      <c r="F43" s="144">
        <f t="shared" si="0"/>
        <v>420178.5</v>
      </c>
    </row>
    <row r="44" spans="1:6" s="135" customFormat="1">
      <c r="A44" s="139">
        <v>41590</v>
      </c>
      <c r="B44" s="140">
        <v>813520004</v>
      </c>
      <c r="C44" s="141" t="s">
        <v>416</v>
      </c>
      <c r="D44" s="142">
        <v>1</v>
      </c>
      <c r="E44" s="149">
        <v>117748.62</v>
      </c>
      <c r="F44" s="144">
        <f t="shared" si="0"/>
        <v>117748.62</v>
      </c>
    </row>
    <row r="45" spans="1:6" s="135" customFormat="1" ht="31.5">
      <c r="A45" s="139">
        <v>41590</v>
      </c>
      <c r="B45" s="140">
        <v>813520005</v>
      </c>
      <c r="C45" s="141" t="s">
        <v>417</v>
      </c>
      <c r="D45" s="142">
        <v>1</v>
      </c>
      <c r="E45" s="149">
        <v>128842.83</v>
      </c>
      <c r="F45" s="144">
        <f t="shared" si="0"/>
        <v>128842.83</v>
      </c>
    </row>
    <row r="46" spans="1:6" s="135" customFormat="1" ht="31.5">
      <c r="A46" s="139">
        <v>41590</v>
      </c>
      <c r="B46" s="140">
        <v>813520008</v>
      </c>
      <c r="C46" s="141" t="s">
        <v>418</v>
      </c>
      <c r="D46" s="142">
        <v>1</v>
      </c>
      <c r="E46" s="149">
        <v>1499680</v>
      </c>
      <c r="F46" s="144">
        <f t="shared" si="0"/>
        <v>1499680</v>
      </c>
    </row>
    <row r="47" spans="1:6" s="135" customFormat="1" ht="31.5">
      <c r="A47" s="139">
        <v>41474</v>
      </c>
      <c r="B47" s="140">
        <v>813620012</v>
      </c>
      <c r="C47" s="141" t="s">
        <v>419</v>
      </c>
      <c r="D47" s="142">
        <v>1</v>
      </c>
      <c r="E47" s="149">
        <v>207772.08</v>
      </c>
      <c r="F47" s="144">
        <f t="shared" si="0"/>
        <v>207772.08</v>
      </c>
    </row>
    <row r="48" spans="1:6" s="135" customFormat="1" ht="47.25">
      <c r="A48" s="139">
        <v>41649</v>
      </c>
      <c r="B48" s="140">
        <v>813650002</v>
      </c>
      <c r="C48" s="141" t="s">
        <v>384</v>
      </c>
      <c r="D48" s="142">
        <v>1</v>
      </c>
      <c r="E48" s="149">
        <v>151000</v>
      </c>
      <c r="F48" s="144">
        <f t="shared" si="0"/>
        <v>151000</v>
      </c>
    </row>
    <row r="49" spans="1:6" s="135" customFormat="1" ht="47.25">
      <c r="A49" s="139">
        <v>41653</v>
      </c>
      <c r="B49" s="140">
        <v>813650002</v>
      </c>
      <c r="C49" s="141" t="s">
        <v>384</v>
      </c>
      <c r="D49" s="142">
        <v>2</v>
      </c>
      <c r="E49" s="149">
        <v>151000</v>
      </c>
      <c r="F49" s="144">
        <f t="shared" si="0"/>
        <v>302000</v>
      </c>
    </row>
    <row r="50" spans="1:6" s="135" customFormat="1" ht="47.25">
      <c r="A50" s="139">
        <v>41671</v>
      </c>
      <c r="B50" s="140">
        <v>813650003</v>
      </c>
      <c r="C50" s="141" t="s">
        <v>420</v>
      </c>
      <c r="D50" s="142">
        <v>1</v>
      </c>
      <c r="E50" s="149">
        <v>802815.62</v>
      </c>
      <c r="F50" s="144">
        <f t="shared" si="0"/>
        <v>802815.62</v>
      </c>
    </row>
    <row r="51" spans="1:6" s="135" customFormat="1">
      <c r="A51" s="139">
        <v>41475</v>
      </c>
      <c r="B51" s="140">
        <v>813650017</v>
      </c>
      <c r="C51" s="141" t="s">
        <v>385</v>
      </c>
      <c r="D51" s="142">
        <v>2</v>
      </c>
      <c r="E51" s="149">
        <v>255765</v>
      </c>
      <c r="F51" s="144">
        <f t="shared" si="0"/>
        <v>511530</v>
      </c>
    </row>
    <row r="52" spans="1:6" s="135" customFormat="1" ht="31.5">
      <c r="A52" s="139">
        <v>41514</v>
      </c>
      <c r="B52" s="140">
        <v>813650027</v>
      </c>
      <c r="C52" s="141" t="s">
        <v>421</v>
      </c>
      <c r="D52" s="142">
        <v>1</v>
      </c>
      <c r="E52" s="149">
        <v>353002.06</v>
      </c>
      <c r="F52" s="144">
        <f t="shared" si="0"/>
        <v>353002.06</v>
      </c>
    </row>
    <row r="53" spans="1:6" s="135" customFormat="1">
      <c r="A53" s="139">
        <v>41604</v>
      </c>
      <c r="B53" s="140">
        <v>813750087</v>
      </c>
      <c r="C53" s="141" t="s">
        <v>422</v>
      </c>
      <c r="D53" s="142">
        <v>1</v>
      </c>
      <c r="E53" s="149">
        <v>140114.94</v>
      </c>
      <c r="F53" s="144">
        <f t="shared" si="0"/>
        <v>140114.94</v>
      </c>
    </row>
    <row r="54" spans="1:6" s="135" customFormat="1">
      <c r="A54" s="139">
        <v>41629</v>
      </c>
      <c r="B54" s="140">
        <v>813750087</v>
      </c>
      <c r="C54" s="141" t="s">
        <v>422</v>
      </c>
      <c r="D54" s="142">
        <v>1</v>
      </c>
      <c r="E54" s="149">
        <v>140114.93</v>
      </c>
      <c r="F54" s="144">
        <f t="shared" si="0"/>
        <v>140114.93</v>
      </c>
    </row>
    <row r="55" spans="1:6" s="135" customFormat="1" ht="31.5">
      <c r="A55" s="139">
        <v>41668</v>
      </c>
      <c r="B55" s="140">
        <v>818020014</v>
      </c>
      <c r="C55" s="141" t="s">
        <v>423</v>
      </c>
      <c r="D55" s="142">
        <v>1</v>
      </c>
      <c r="E55" s="149">
        <v>154122.25</v>
      </c>
      <c r="F55" s="144">
        <f t="shared" si="0"/>
        <v>154122.25</v>
      </c>
    </row>
    <row r="56" spans="1:6" s="135" customFormat="1" ht="31.5">
      <c r="A56" s="139">
        <v>41715</v>
      </c>
      <c r="B56" s="140">
        <v>818040001</v>
      </c>
      <c r="C56" s="141" t="s">
        <v>424</v>
      </c>
      <c r="D56" s="142">
        <v>1</v>
      </c>
      <c r="E56" s="149">
        <v>1133992.92</v>
      </c>
      <c r="F56" s="144">
        <f t="shared" si="0"/>
        <v>1133992.92</v>
      </c>
    </row>
    <row r="57" spans="1:6" s="135" customFormat="1" ht="31.5">
      <c r="A57" s="139">
        <v>41474</v>
      </c>
      <c r="B57" s="140">
        <v>818140008</v>
      </c>
      <c r="C57" s="141" t="s">
        <v>376</v>
      </c>
      <c r="D57" s="142">
        <v>2</v>
      </c>
      <c r="E57" s="149">
        <v>207275.55499999999</v>
      </c>
      <c r="F57" s="144">
        <f t="shared" si="0"/>
        <v>414551.11</v>
      </c>
    </row>
    <row r="58" spans="1:6" s="135" customFormat="1" ht="31.5">
      <c r="A58" s="139">
        <v>41551</v>
      </c>
      <c r="B58" s="140">
        <v>818140008</v>
      </c>
      <c r="C58" s="141" t="s">
        <v>376</v>
      </c>
      <c r="D58" s="142">
        <v>2</v>
      </c>
      <c r="E58" s="149">
        <v>207275.55499999999</v>
      </c>
      <c r="F58" s="144">
        <f t="shared" si="0"/>
        <v>414551.11</v>
      </c>
    </row>
    <row r="59" spans="1:6" s="135" customFormat="1" ht="31.5">
      <c r="A59" s="139">
        <v>41587</v>
      </c>
      <c r="B59" s="140">
        <v>818140008</v>
      </c>
      <c r="C59" s="141" t="s">
        <v>376</v>
      </c>
      <c r="D59" s="142">
        <v>5</v>
      </c>
      <c r="E59" s="149">
        <v>207275.592</v>
      </c>
      <c r="F59" s="144">
        <f t="shared" si="0"/>
        <v>1036377.96</v>
      </c>
    </row>
    <row r="60" spans="1:6" s="135" customFormat="1">
      <c r="A60" s="139">
        <v>41604</v>
      </c>
      <c r="B60" s="140">
        <v>818150014</v>
      </c>
      <c r="C60" s="141" t="s">
        <v>388</v>
      </c>
      <c r="D60" s="142">
        <v>2</v>
      </c>
      <c r="E60" s="149">
        <v>131827.5</v>
      </c>
      <c r="F60" s="144">
        <f t="shared" si="0"/>
        <v>263655</v>
      </c>
    </row>
    <row r="61" spans="1:6" s="135" customFormat="1">
      <c r="A61" s="139">
        <v>41694</v>
      </c>
      <c r="B61" s="140">
        <v>818150014</v>
      </c>
      <c r="C61" s="141" t="s">
        <v>388</v>
      </c>
      <c r="D61" s="142">
        <v>2</v>
      </c>
      <c r="E61" s="149">
        <v>131827.5</v>
      </c>
      <c r="F61" s="144">
        <f t="shared" si="0"/>
        <v>263655</v>
      </c>
    </row>
    <row r="62" spans="1:6" s="135" customFormat="1" ht="31.5">
      <c r="A62" s="139">
        <v>41551</v>
      </c>
      <c r="B62" s="140">
        <v>818170011</v>
      </c>
      <c r="C62" s="141" t="s">
        <v>425</v>
      </c>
      <c r="D62" s="142">
        <v>1</v>
      </c>
      <c r="E62" s="149">
        <v>159127.67000000001</v>
      </c>
      <c r="F62" s="144">
        <f t="shared" si="0"/>
        <v>159127.67000000001</v>
      </c>
    </row>
    <row r="63" spans="1:6" s="135" customFormat="1" ht="31.5">
      <c r="A63" s="139">
        <v>41694</v>
      </c>
      <c r="B63" s="140">
        <v>818170011</v>
      </c>
      <c r="C63" s="141" t="s">
        <v>425</v>
      </c>
      <c r="D63" s="142">
        <v>2</v>
      </c>
      <c r="E63" s="149">
        <v>159127.66500000001</v>
      </c>
      <c r="F63" s="144">
        <f t="shared" si="0"/>
        <v>318255.33</v>
      </c>
    </row>
    <row r="64" spans="1:6" s="135" customFormat="1">
      <c r="A64" s="139">
        <v>41395</v>
      </c>
      <c r="B64" s="140">
        <v>830120020</v>
      </c>
      <c r="C64" s="141" t="s">
        <v>426</v>
      </c>
      <c r="D64" s="142">
        <v>3</v>
      </c>
      <c r="E64" s="149">
        <v>257192</v>
      </c>
      <c r="F64" s="144">
        <f t="shared" si="0"/>
        <v>771576</v>
      </c>
    </row>
    <row r="65" spans="1:6" s="135" customFormat="1">
      <c r="A65" s="139">
        <v>41699</v>
      </c>
      <c r="B65" s="140">
        <v>830120020</v>
      </c>
      <c r="C65" s="141" t="s">
        <v>426</v>
      </c>
      <c r="D65" s="142">
        <v>2</v>
      </c>
      <c r="E65" s="149">
        <v>257192</v>
      </c>
      <c r="F65" s="144">
        <f t="shared" si="0"/>
        <v>514384</v>
      </c>
    </row>
    <row r="66" spans="1:6" s="135" customFormat="1" ht="47.25">
      <c r="A66" s="139">
        <v>41699</v>
      </c>
      <c r="B66" s="140">
        <v>830430001</v>
      </c>
      <c r="C66" s="141" t="s">
        <v>427</v>
      </c>
      <c r="D66" s="142">
        <v>6</v>
      </c>
      <c r="E66" s="149">
        <v>194733.5</v>
      </c>
      <c r="F66" s="144">
        <f t="shared" si="0"/>
        <v>1168401</v>
      </c>
    </row>
    <row r="67" spans="1:6" s="135" customFormat="1" ht="31.5">
      <c r="A67" s="139">
        <v>41708</v>
      </c>
      <c r="B67" s="140">
        <v>833170005</v>
      </c>
      <c r="C67" s="141" t="s">
        <v>428</v>
      </c>
      <c r="D67" s="142">
        <v>1</v>
      </c>
      <c r="E67" s="149">
        <v>119648</v>
      </c>
      <c r="F67" s="144">
        <f t="shared" si="0"/>
        <v>119648</v>
      </c>
    </row>
    <row r="68" spans="1:6" s="135" customFormat="1" ht="31.5">
      <c r="A68" s="139">
        <v>41516</v>
      </c>
      <c r="B68" s="140">
        <v>833210001</v>
      </c>
      <c r="C68" s="141" t="s">
        <v>429</v>
      </c>
      <c r="D68" s="142">
        <v>1</v>
      </c>
      <c r="E68" s="149">
        <v>139190</v>
      </c>
      <c r="F68" s="144">
        <f t="shared" si="0"/>
        <v>139190</v>
      </c>
    </row>
    <row r="69" spans="1:6" s="135" customFormat="1" ht="47.25">
      <c r="A69" s="139">
        <v>41451</v>
      </c>
      <c r="B69" s="140">
        <v>833270001</v>
      </c>
      <c r="C69" s="141" t="s">
        <v>430</v>
      </c>
      <c r="D69" s="142">
        <v>1</v>
      </c>
      <c r="E69" s="149">
        <v>314683</v>
      </c>
      <c r="F69" s="144">
        <f t="shared" si="0"/>
        <v>314683</v>
      </c>
    </row>
    <row r="70" spans="1:6" s="135" customFormat="1" ht="31.5">
      <c r="A70" s="139">
        <v>41673</v>
      </c>
      <c r="B70" s="140">
        <v>835810109</v>
      </c>
      <c r="C70" s="141" t="s">
        <v>392</v>
      </c>
      <c r="D70" s="142">
        <v>1</v>
      </c>
      <c r="E70" s="149">
        <v>455715</v>
      </c>
      <c r="F70" s="144">
        <f t="shared" si="0"/>
        <v>455715</v>
      </c>
    </row>
    <row r="71" spans="1:6" s="135" customFormat="1" ht="31.5">
      <c r="A71" s="139">
        <v>41487</v>
      </c>
      <c r="B71" s="140">
        <v>850030002</v>
      </c>
      <c r="C71" s="141" t="s">
        <v>431</v>
      </c>
      <c r="D71" s="142">
        <v>3</v>
      </c>
      <c r="E71" s="149">
        <v>206850</v>
      </c>
      <c r="F71" s="144">
        <f t="shared" ref="F71:F80" si="1">E71*D71</f>
        <v>620550</v>
      </c>
    </row>
    <row r="72" spans="1:6" s="135" customFormat="1" ht="31.5">
      <c r="A72" s="139">
        <v>41487</v>
      </c>
      <c r="B72" s="140">
        <v>850030034</v>
      </c>
      <c r="C72" s="141" t="s">
        <v>432</v>
      </c>
      <c r="D72" s="142">
        <v>2</v>
      </c>
      <c r="E72" s="149">
        <v>140700</v>
      </c>
      <c r="F72" s="144">
        <f t="shared" si="1"/>
        <v>281400</v>
      </c>
    </row>
    <row r="73" spans="1:6" s="135" customFormat="1">
      <c r="A73" s="139">
        <v>41377</v>
      </c>
      <c r="B73" s="140">
        <v>851000017</v>
      </c>
      <c r="C73" s="141" t="s">
        <v>433</v>
      </c>
      <c r="D73" s="142">
        <v>1</v>
      </c>
      <c r="E73" s="149">
        <v>220070.12</v>
      </c>
      <c r="F73" s="144">
        <f t="shared" si="1"/>
        <v>220070.12</v>
      </c>
    </row>
    <row r="74" spans="1:6" s="135" customFormat="1" ht="31.5">
      <c r="A74" s="139">
        <v>41377</v>
      </c>
      <c r="B74" s="140">
        <v>852020074</v>
      </c>
      <c r="C74" s="141" t="s">
        <v>396</v>
      </c>
      <c r="D74" s="142">
        <v>1</v>
      </c>
      <c r="E74" s="149">
        <v>189441.8</v>
      </c>
      <c r="F74" s="144">
        <f t="shared" si="1"/>
        <v>189441.8</v>
      </c>
    </row>
    <row r="75" spans="1:6" s="135" customFormat="1">
      <c r="A75" s="139">
        <v>41377</v>
      </c>
      <c r="B75" s="140">
        <v>852020075</v>
      </c>
      <c r="C75" s="141" t="s">
        <v>434</v>
      </c>
      <c r="D75" s="142">
        <v>2</v>
      </c>
      <c r="E75" s="149">
        <v>130453.94</v>
      </c>
      <c r="F75" s="144">
        <f t="shared" si="1"/>
        <v>260907.88</v>
      </c>
    </row>
    <row r="76" spans="1:6" s="135" customFormat="1">
      <c r="A76" s="139">
        <v>41471</v>
      </c>
      <c r="B76" s="140">
        <v>852030154</v>
      </c>
      <c r="C76" s="141" t="s">
        <v>435</v>
      </c>
      <c r="D76" s="142">
        <v>3</v>
      </c>
      <c r="E76" s="149">
        <v>280787.64</v>
      </c>
      <c r="F76" s="144">
        <f t="shared" si="1"/>
        <v>842362.92</v>
      </c>
    </row>
    <row r="77" spans="1:6" s="135" customFormat="1">
      <c r="A77" s="139">
        <v>41432</v>
      </c>
      <c r="B77" s="140">
        <v>852510090</v>
      </c>
      <c r="C77" s="141" t="s">
        <v>398</v>
      </c>
      <c r="D77" s="142">
        <v>3</v>
      </c>
      <c r="E77" s="149">
        <v>264169.60000000003</v>
      </c>
      <c r="F77" s="144">
        <f t="shared" si="1"/>
        <v>792508.8</v>
      </c>
    </row>
    <row r="78" spans="1:6" s="135" customFormat="1">
      <c r="A78" s="139">
        <v>41618</v>
      </c>
      <c r="B78" s="140">
        <v>852510101</v>
      </c>
      <c r="C78" s="141" t="s">
        <v>436</v>
      </c>
      <c r="D78" s="142">
        <v>3</v>
      </c>
      <c r="E78" s="149">
        <v>216400</v>
      </c>
      <c r="F78" s="144">
        <f t="shared" si="1"/>
        <v>649200</v>
      </c>
    </row>
    <row r="79" spans="1:6" s="135" customFormat="1">
      <c r="A79" s="139">
        <v>41573</v>
      </c>
      <c r="B79" s="140">
        <v>852510111</v>
      </c>
      <c r="C79" s="141" t="s">
        <v>437</v>
      </c>
      <c r="D79" s="142">
        <v>1</v>
      </c>
      <c r="E79" s="149">
        <v>102000</v>
      </c>
      <c r="F79" s="144">
        <f t="shared" si="1"/>
        <v>102000</v>
      </c>
    </row>
    <row r="80" spans="1:6" s="135" customFormat="1" ht="31.5">
      <c r="A80" s="139">
        <v>41704</v>
      </c>
      <c r="B80" s="140">
        <v>852520033</v>
      </c>
      <c r="C80" s="141" t="s">
        <v>400</v>
      </c>
      <c r="D80" s="142">
        <v>2</v>
      </c>
      <c r="E80" s="149">
        <v>154275</v>
      </c>
      <c r="F80" s="144">
        <f t="shared" si="1"/>
        <v>308550</v>
      </c>
    </row>
    <row r="81" spans="1:6" s="135" customFormat="1">
      <c r="A81" s="150"/>
      <c r="B81" s="150"/>
      <c r="C81" s="608" t="s">
        <v>438</v>
      </c>
      <c r="D81" s="609"/>
      <c r="E81" s="331"/>
      <c r="F81" s="151">
        <v>36253523.450000003</v>
      </c>
    </row>
  </sheetData>
  <mergeCells count="4">
    <mergeCell ref="B1:F1"/>
    <mergeCell ref="B2:F2"/>
    <mergeCell ref="B3:F3"/>
    <mergeCell ref="C81:D8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75"/>
  <sheetViews>
    <sheetView topLeftCell="B61" workbookViewId="0">
      <selection activeCell="B1" sqref="A1:F75"/>
    </sheetView>
  </sheetViews>
  <sheetFormatPr defaultColWidth="8.83203125" defaultRowHeight="15.75"/>
  <cols>
    <col min="1" max="1" width="13.6640625" style="146" hidden="1" customWidth="1"/>
    <col min="2" max="2" width="14.5" style="146" customWidth="1"/>
    <col min="3" max="3" width="68" style="146" customWidth="1"/>
    <col min="4" max="4" width="9.83203125" style="146" hidden="1" customWidth="1"/>
    <col min="5" max="5" width="10.5" style="146" hidden="1" customWidth="1"/>
    <col min="6" max="6" width="13.5" style="146" customWidth="1"/>
    <col min="7" max="16384" width="8.83203125" style="146"/>
  </cols>
  <sheetData>
    <row r="1" spans="1:6">
      <c r="B1" s="605" t="s">
        <v>301</v>
      </c>
      <c r="C1" s="605"/>
      <c r="D1" s="605"/>
      <c r="E1" s="605"/>
      <c r="F1" s="605"/>
    </row>
    <row r="2" spans="1:6">
      <c r="B2" s="605" t="s">
        <v>340</v>
      </c>
      <c r="C2" s="605"/>
      <c r="D2" s="605"/>
      <c r="E2" s="605"/>
      <c r="F2" s="605"/>
    </row>
    <row r="3" spans="1:6" s="135" customFormat="1" ht="25.15" customHeight="1">
      <c r="A3" s="610" t="s">
        <v>439</v>
      </c>
      <c r="B3" s="610"/>
      <c r="C3" s="610"/>
      <c r="D3" s="610"/>
      <c r="E3" s="610"/>
      <c r="F3" s="610"/>
    </row>
    <row r="4" spans="1:6" s="135" customFormat="1" ht="36" customHeight="1">
      <c r="A4" s="136" t="s">
        <v>360</v>
      </c>
      <c r="B4" s="136" t="s">
        <v>361</v>
      </c>
      <c r="C4" s="136" t="s">
        <v>362</v>
      </c>
      <c r="D4" s="137" t="s">
        <v>363</v>
      </c>
      <c r="E4" s="137" t="s">
        <v>364</v>
      </c>
      <c r="F4" s="152" t="s">
        <v>365</v>
      </c>
    </row>
    <row r="5" spans="1:6" s="135" customFormat="1" ht="31.5">
      <c r="A5" s="139">
        <v>42019</v>
      </c>
      <c r="B5" s="140">
        <v>290080045</v>
      </c>
      <c r="C5" s="141" t="s">
        <v>440</v>
      </c>
      <c r="D5" s="142">
        <v>2</v>
      </c>
      <c r="E5" s="143">
        <v>136500</v>
      </c>
      <c r="F5" s="144">
        <f t="shared" ref="F5:F68" si="0">E5*D5</f>
        <v>273000</v>
      </c>
    </row>
    <row r="6" spans="1:6" s="135" customFormat="1">
      <c r="A6" s="139">
        <v>41914</v>
      </c>
      <c r="B6" s="140">
        <v>319990089</v>
      </c>
      <c r="C6" s="141" t="s">
        <v>441</v>
      </c>
      <c r="D6" s="142">
        <v>1</v>
      </c>
      <c r="E6" s="143">
        <v>154575</v>
      </c>
      <c r="F6" s="144">
        <f t="shared" si="0"/>
        <v>154575</v>
      </c>
    </row>
    <row r="7" spans="1:6" s="135" customFormat="1">
      <c r="A7" s="139">
        <v>41817</v>
      </c>
      <c r="B7" s="140">
        <v>319990598</v>
      </c>
      <c r="C7" s="141" t="s">
        <v>442</v>
      </c>
      <c r="D7" s="142">
        <v>1</v>
      </c>
      <c r="E7" s="143">
        <v>194604.71</v>
      </c>
      <c r="F7" s="144">
        <f t="shared" si="0"/>
        <v>194604.71</v>
      </c>
    </row>
    <row r="8" spans="1:6" s="135" customFormat="1">
      <c r="A8" s="139">
        <v>42075</v>
      </c>
      <c r="B8" s="140">
        <v>814010010</v>
      </c>
      <c r="C8" s="141" t="s">
        <v>443</v>
      </c>
      <c r="D8" s="142">
        <v>1</v>
      </c>
      <c r="E8" s="143">
        <v>155192.1</v>
      </c>
      <c r="F8" s="144">
        <f t="shared" si="0"/>
        <v>155192.1</v>
      </c>
    </row>
    <row r="9" spans="1:6" s="135" customFormat="1">
      <c r="A9" s="139">
        <v>41990</v>
      </c>
      <c r="B9" s="140">
        <v>814030013</v>
      </c>
      <c r="C9" s="141" t="s">
        <v>366</v>
      </c>
      <c r="D9" s="142">
        <v>2</v>
      </c>
      <c r="E9" s="143">
        <v>806926.5</v>
      </c>
      <c r="F9" s="144">
        <f t="shared" si="0"/>
        <v>1613853</v>
      </c>
    </row>
    <row r="10" spans="1:6" s="135" customFormat="1">
      <c r="A10" s="139">
        <v>41766</v>
      </c>
      <c r="B10" s="140">
        <v>814030054</v>
      </c>
      <c r="C10" s="141" t="s">
        <v>444</v>
      </c>
      <c r="D10" s="142">
        <v>1</v>
      </c>
      <c r="E10" s="143">
        <v>340018</v>
      </c>
      <c r="F10" s="144">
        <f t="shared" si="0"/>
        <v>340018</v>
      </c>
    </row>
    <row r="11" spans="1:6" s="135" customFormat="1">
      <c r="A11" s="139">
        <v>41857</v>
      </c>
      <c r="B11" s="140">
        <v>814210001</v>
      </c>
      <c r="C11" s="141" t="s">
        <v>445</v>
      </c>
      <c r="D11" s="142">
        <v>1</v>
      </c>
      <c r="E11" s="143">
        <v>1234528</v>
      </c>
      <c r="F11" s="144">
        <f t="shared" si="0"/>
        <v>1234528</v>
      </c>
    </row>
    <row r="12" spans="1:6" s="135" customFormat="1">
      <c r="A12" s="139">
        <v>41981</v>
      </c>
      <c r="B12" s="140">
        <v>814230002</v>
      </c>
      <c r="C12" s="141" t="s">
        <v>446</v>
      </c>
      <c r="D12" s="142">
        <v>1</v>
      </c>
      <c r="E12" s="143">
        <v>160670.29999999999</v>
      </c>
      <c r="F12" s="144">
        <f t="shared" si="0"/>
        <v>160670.29999999999</v>
      </c>
    </row>
    <row r="13" spans="1:6" s="135" customFormat="1" ht="31.5">
      <c r="A13" s="139">
        <v>42080</v>
      </c>
      <c r="B13" s="140">
        <v>814230003</v>
      </c>
      <c r="C13" s="141" t="s">
        <v>447</v>
      </c>
      <c r="D13" s="142">
        <v>1</v>
      </c>
      <c r="E13" s="143">
        <v>103702.37</v>
      </c>
      <c r="F13" s="144">
        <f t="shared" si="0"/>
        <v>103702.37</v>
      </c>
    </row>
    <row r="14" spans="1:6" s="135" customFormat="1" ht="31.5">
      <c r="A14" s="139">
        <v>42091</v>
      </c>
      <c r="B14" s="140">
        <v>814410001</v>
      </c>
      <c r="C14" s="141" t="s">
        <v>448</v>
      </c>
      <c r="D14" s="142">
        <v>1</v>
      </c>
      <c r="E14" s="143">
        <v>534404</v>
      </c>
      <c r="F14" s="144">
        <f t="shared" si="0"/>
        <v>534404</v>
      </c>
    </row>
    <row r="15" spans="1:6" s="135" customFormat="1">
      <c r="A15" s="139">
        <v>41734</v>
      </c>
      <c r="B15" s="140">
        <v>814510297</v>
      </c>
      <c r="C15" s="141" t="s">
        <v>412</v>
      </c>
      <c r="D15" s="142">
        <v>1</v>
      </c>
      <c r="E15" s="143">
        <v>131681.97</v>
      </c>
      <c r="F15" s="144">
        <f t="shared" si="0"/>
        <v>131681.97</v>
      </c>
    </row>
    <row r="16" spans="1:6" s="135" customFormat="1" ht="31.5">
      <c r="A16" s="139">
        <v>41766</v>
      </c>
      <c r="B16" s="140">
        <v>814510309</v>
      </c>
      <c r="C16" s="141" t="s">
        <v>449</v>
      </c>
      <c r="D16" s="142">
        <v>1</v>
      </c>
      <c r="E16" s="143">
        <v>278295</v>
      </c>
      <c r="F16" s="144">
        <f t="shared" si="0"/>
        <v>278295</v>
      </c>
    </row>
    <row r="17" spans="1:6" s="135" customFormat="1">
      <c r="A17" s="139">
        <v>41750</v>
      </c>
      <c r="B17" s="140">
        <v>810060002</v>
      </c>
      <c r="C17" s="141" t="s">
        <v>450</v>
      </c>
      <c r="D17" s="142">
        <v>1</v>
      </c>
      <c r="E17" s="143">
        <v>227304</v>
      </c>
      <c r="F17" s="144">
        <f t="shared" si="0"/>
        <v>227304</v>
      </c>
    </row>
    <row r="18" spans="1:6" s="135" customFormat="1">
      <c r="A18" s="139">
        <v>41750</v>
      </c>
      <c r="B18" s="140">
        <v>810060003</v>
      </c>
      <c r="C18" s="141" t="s">
        <v>451</v>
      </c>
      <c r="D18" s="142">
        <v>1</v>
      </c>
      <c r="E18" s="143">
        <v>235956</v>
      </c>
      <c r="F18" s="144">
        <f t="shared" si="0"/>
        <v>235956</v>
      </c>
    </row>
    <row r="19" spans="1:6" s="135" customFormat="1" ht="31.5">
      <c r="A19" s="139">
        <v>42051</v>
      </c>
      <c r="B19" s="140">
        <v>811100012</v>
      </c>
      <c r="C19" s="141" t="s">
        <v>373</v>
      </c>
      <c r="D19" s="142">
        <v>6</v>
      </c>
      <c r="E19" s="143">
        <v>313848.99</v>
      </c>
      <c r="F19" s="144">
        <f t="shared" si="0"/>
        <v>1883093.94</v>
      </c>
    </row>
    <row r="20" spans="1:6" s="135" customFormat="1">
      <c r="A20" s="139">
        <v>41969</v>
      </c>
      <c r="B20" s="140">
        <v>811100016</v>
      </c>
      <c r="C20" s="141" t="s">
        <v>452</v>
      </c>
      <c r="D20" s="142">
        <v>2</v>
      </c>
      <c r="E20" s="143">
        <v>265216.5</v>
      </c>
      <c r="F20" s="144">
        <f t="shared" si="0"/>
        <v>530433</v>
      </c>
    </row>
    <row r="21" spans="1:6" s="135" customFormat="1" ht="31.5">
      <c r="A21" s="139">
        <v>41797</v>
      </c>
      <c r="B21" s="140">
        <v>818140008</v>
      </c>
      <c r="C21" s="141" t="s">
        <v>376</v>
      </c>
      <c r="D21" s="142">
        <v>2</v>
      </c>
      <c r="E21" s="143">
        <v>207275.59</v>
      </c>
      <c r="F21" s="144">
        <f t="shared" si="0"/>
        <v>414551.18</v>
      </c>
    </row>
    <row r="22" spans="1:6" s="135" customFormat="1" ht="31.5">
      <c r="A22" s="139">
        <v>41811</v>
      </c>
      <c r="B22" s="140">
        <v>818140008</v>
      </c>
      <c r="C22" s="141" t="s">
        <v>376</v>
      </c>
      <c r="D22" s="142">
        <v>2</v>
      </c>
      <c r="E22" s="143">
        <v>207275.59</v>
      </c>
      <c r="F22" s="144">
        <f t="shared" si="0"/>
        <v>414551.18</v>
      </c>
    </row>
    <row r="23" spans="1:6" s="135" customFormat="1" ht="31.5">
      <c r="A23" s="139">
        <v>41839</v>
      </c>
      <c r="B23" s="140">
        <v>818140008</v>
      </c>
      <c r="C23" s="141" t="s">
        <v>376</v>
      </c>
      <c r="D23" s="142">
        <v>2</v>
      </c>
      <c r="E23" s="143">
        <v>207275.59</v>
      </c>
      <c r="F23" s="144">
        <f t="shared" si="0"/>
        <v>414551.18</v>
      </c>
    </row>
    <row r="24" spans="1:6" s="135" customFormat="1" ht="31.5">
      <c r="A24" s="139">
        <v>41859</v>
      </c>
      <c r="B24" s="140">
        <v>818140008</v>
      </c>
      <c r="C24" s="141" t="s">
        <v>376</v>
      </c>
      <c r="D24" s="142">
        <v>1</v>
      </c>
      <c r="E24" s="143">
        <v>207275.59</v>
      </c>
      <c r="F24" s="144">
        <f t="shared" si="0"/>
        <v>207275.59</v>
      </c>
    </row>
    <row r="25" spans="1:6" s="135" customFormat="1" ht="31.5">
      <c r="A25" s="139">
        <v>41891</v>
      </c>
      <c r="B25" s="140">
        <v>818140008</v>
      </c>
      <c r="C25" s="141" t="s">
        <v>376</v>
      </c>
      <c r="D25" s="142">
        <v>1</v>
      </c>
      <c r="E25" s="143">
        <v>207275.59</v>
      </c>
      <c r="F25" s="144">
        <f t="shared" si="0"/>
        <v>207275.59</v>
      </c>
    </row>
    <row r="26" spans="1:6" s="135" customFormat="1" ht="31.5">
      <c r="A26" s="139">
        <v>41969</v>
      </c>
      <c r="B26" s="140">
        <v>818140008</v>
      </c>
      <c r="C26" s="141" t="s">
        <v>376</v>
      </c>
      <c r="D26" s="142">
        <v>2</v>
      </c>
      <c r="E26" s="143">
        <v>207275.6</v>
      </c>
      <c r="F26" s="144">
        <f t="shared" si="0"/>
        <v>414551.2</v>
      </c>
    </row>
    <row r="27" spans="1:6" s="135" customFormat="1" ht="31.5">
      <c r="A27" s="139">
        <v>42044</v>
      </c>
      <c r="B27" s="140">
        <v>818140008</v>
      </c>
      <c r="C27" s="141" t="s">
        <v>376</v>
      </c>
      <c r="D27" s="142">
        <v>8</v>
      </c>
      <c r="E27" s="143">
        <v>203475.38500000001</v>
      </c>
      <c r="F27" s="144">
        <f t="shared" si="0"/>
        <v>1627803.08</v>
      </c>
    </row>
    <row r="28" spans="1:6" s="135" customFormat="1">
      <c r="A28" s="139">
        <v>42037</v>
      </c>
      <c r="B28" s="140">
        <v>810010009</v>
      </c>
      <c r="C28" s="141" t="s">
        <v>369</v>
      </c>
      <c r="D28" s="142">
        <v>1</v>
      </c>
      <c r="E28" s="143">
        <v>303960</v>
      </c>
      <c r="F28" s="144">
        <f t="shared" si="0"/>
        <v>303960</v>
      </c>
    </row>
    <row r="29" spans="1:6" s="135" customFormat="1">
      <c r="A29" s="139">
        <v>41940</v>
      </c>
      <c r="B29" s="140">
        <v>810060002</v>
      </c>
      <c r="C29" s="141" t="s">
        <v>450</v>
      </c>
      <c r="D29" s="142">
        <v>1</v>
      </c>
      <c r="E29" s="143">
        <v>241500</v>
      </c>
      <c r="F29" s="144">
        <f t="shared" si="0"/>
        <v>241500</v>
      </c>
    </row>
    <row r="30" spans="1:6" s="135" customFormat="1">
      <c r="A30" s="139">
        <v>41940</v>
      </c>
      <c r="B30" s="140">
        <v>810060003</v>
      </c>
      <c r="C30" s="141" t="s">
        <v>451</v>
      </c>
      <c r="D30" s="142">
        <v>1</v>
      </c>
      <c r="E30" s="143">
        <v>241500</v>
      </c>
      <c r="F30" s="144">
        <f t="shared" si="0"/>
        <v>241500</v>
      </c>
    </row>
    <row r="31" spans="1:6" s="135" customFormat="1">
      <c r="A31" s="139">
        <v>42012</v>
      </c>
      <c r="B31" s="140">
        <v>810070003</v>
      </c>
      <c r="C31" s="141" t="s">
        <v>453</v>
      </c>
      <c r="D31" s="142">
        <v>1</v>
      </c>
      <c r="E31" s="143">
        <v>211073</v>
      </c>
      <c r="F31" s="144">
        <f t="shared" si="0"/>
        <v>211073</v>
      </c>
    </row>
    <row r="32" spans="1:6" s="135" customFormat="1">
      <c r="A32" s="139">
        <v>41935</v>
      </c>
      <c r="B32" s="140">
        <v>810070035</v>
      </c>
      <c r="C32" s="141" t="s">
        <v>370</v>
      </c>
      <c r="D32" s="142">
        <v>1</v>
      </c>
      <c r="E32" s="143">
        <v>281430.5</v>
      </c>
      <c r="F32" s="144">
        <f t="shared" si="0"/>
        <v>281430.5</v>
      </c>
    </row>
    <row r="33" spans="1:6" s="135" customFormat="1">
      <c r="A33" s="139">
        <v>42018</v>
      </c>
      <c r="B33" s="140">
        <v>810070035</v>
      </c>
      <c r="C33" s="141" t="s">
        <v>370</v>
      </c>
      <c r="D33" s="142">
        <v>1</v>
      </c>
      <c r="E33" s="143">
        <v>281430.5</v>
      </c>
      <c r="F33" s="144">
        <f t="shared" si="0"/>
        <v>281430.5</v>
      </c>
    </row>
    <row r="34" spans="1:6" s="135" customFormat="1" ht="31.5">
      <c r="A34" s="139">
        <v>42041</v>
      </c>
      <c r="B34" s="140">
        <v>810100014</v>
      </c>
      <c r="C34" s="141" t="s">
        <v>454</v>
      </c>
      <c r="D34" s="142">
        <v>2</v>
      </c>
      <c r="E34" s="143">
        <v>105811</v>
      </c>
      <c r="F34" s="144">
        <f t="shared" si="0"/>
        <v>211622</v>
      </c>
    </row>
    <row r="35" spans="1:6" s="135" customFormat="1">
      <c r="A35" s="139">
        <v>42081</v>
      </c>
      <c r="B35" s="140">
        <v>812210014</v>
      </c>
      <c r="C35" s="141" t="s">
        <v>378</v>
      </c>
      <c r="D35" s="142">
        <v>3</v>
      </c>
      <c r="E35" s="143">
        <v>625511.66666666663</v>
      </c>
      <c r="F35" s="144">
        <f t="shared" si="0"/>
        <v>1876535</v>
      </c>
    </row>
    <row r="36" spans="1:6" s="135" customFormat="1">
      <c r="A36" s="139">
        <v>42055</v>
      </c>
      <c r="B36" s="140">
        <v>812410185</v>
      </c>
      <c r="C36" s="141" t="s">
        <v>455</v>
      </c>
      <c r="D36" s="142">
        <v>2</v>
      </c>
      <c r="E36" s="143">
        <v>325500</v>
      </c>
      <c r="F36" s="144">
        <f t="shared" si="0"/>
        <v>651000</v>
      </c>
    </row>
    <row r="37" spans="1:6" s="135" customFormat="1">
      <c r="A37" s="139">
        <v>42040</v>
      </c>
      <c r="B37" s="140">
        <v>812410196</v>
      </c>
      <c r="C37" s="141" t="s">
        <v>379</v>
      </c>
      <c r="D37" s="142">
        <v>3</v>
      </c>
      <c r="E37" s="143">
        <v>120750</v>
      </c>
      <c r="F37" s="144">
        <f t="shared" si="0"/>
        <v>362250</v>
      </c>
    </row>
    <row r="38" spans="1:6" s="135" customFormat="1">
      <c r="A38" s="139">
        <v>42055</v>
      </c>
      <c r="B38" s="140">
        <v>812410196</v>
      </c>
      <c r="C38" s="141" t="s">
        <v>379</v>
      </c>
      <c r="D38" s="142">
        <v>3</v>
      </c>
      <c r="E38" s="143">
        <v>120750</v>
      </c>
      <c r="F38" s="144">
        <f t="shared" si="0"/>
        <v>362250</v>
      </c>
    </row>
    <row r="39" spans="1:6" s="135" customFormat="1">
      <c r="A39" s="139">
        <v>41799</v>
      </c>
      <c r="B39" s="140">
        <v>813510015</v>
      </c>
      <c r="C39" s="141" t="s">
        <v>456</v>
      </c>
      <c r="D39" s="142">
        <v>9</v>
      </c>
      <c r="E39" s="143">
        <v>102500.68222222223</v>
      </c>
      <c r="F39" s="144">
        <f t="shared" si="0"/>
        <v>922506.14</v>
      </c>
    </row>
    <row r="40" spans="1:6" s="135" customFormat="1">
      <c r="A40" s="139">
        <v>42079</v>
      </c>
      <c r="B40" s="140">
        <v>813510015</v>
      </c>
      <c r="C40" s="141" t="s">
        <v>456</v>
      </c>
      <c r="D40" s="142">
        <v>9</v>
      </c>
      <c r="E40" s="143">
        <v>110604.36666666667</v>
      </c>
      <c r="F40" s="144">
        <f t="shared" si="0"/>
        <v>995439.3</v>
      </c>
    </row>
    <row r="41" spans="1:6" s="135" customFormat="1">
      <c r="A41" s="139">
        <v>41799</v>
      </c>
      <c r="B41" s="140">
        <v>813510040</v>
      </c>
      <c r="C41" s="141" t="s">
        <v>457</v>
      </c>
      <c r="D41" s="142">
        <v>1</v>
      </c>
      <c r="E41" s="143">
        <v>121771.3</v>
      </c>
      <c r="F41" s="144">
        <f t="shared" si="0"/>
        <v>121771.3</v>
      </c>
    </row>
    <row r="42" spans="1:6" s="135" customFormat="1">
      <c r="A42" s="139">
        <v>42079</v>
      </c>
      <c r="B42" s="140">
        <v>813510040</v>
      </c>
      <c r="C42" s="141" t="s">
        <v>457</v>
      </c>
      <c r="D42" s="142">
        <v>1</v>
      </c>
      <c r="E42" s="143">
        <v>123325.7</v>
      </c>
      <c r="F42" s="144">
        <f t="shared" si="0"/>
        <v>123325.7</v>
      </c>
    </row>
    <row r="43" spans="1:6" s="135" customFormat="1">
      <c r="A43" s="139">
        <v>41907</v>
      </c>
      <c r="B43" s="140">
        <v>813510043</v>
      </c>
      <c r="C43" s="141" t="s">
        <v>458</v>
      </c>
      <c r="D43" s="142">
        <v>1</v>
      </c>
      <c r="E43" s="143">
        <v>102302.97</v>
      </c>
      <c r="F43" s="144">
        <f t="shared" si="0"/>
        <v>102302.97</v>
      </c>
    </row>
    <row r="44" spans="1:6" s="135" customFormat="1">
      <c r="A44" s="139">
        <v>42079</v>
      </c>
      <c r="B44" s="140">
        <v>813510044</v>
      </c>
      <c r="C44" s="141" t="s">
        <v>381</v>
      </c>
      <c r="D44" s="142">
        <v>2</v>
      </c>
      <c r="E44" s="143">
        <v>147541.87</v>
      </c>
      <c r="F44" s="144">
        <f t="shared" si="0"/>
        <v>295083.74</v>
      </c>
    </row>
    <row r="45" spans="1:6" s="135" customFormat="1" ht="31.5">
      <c r="A45" s="139">
        <v>41995</v>
      </c>
      <c r="B45" s="140">
        <v>813510090</v>
      </c>
      <c r="C45" s="141" t="s">
        <v>459</v>
      </c>
      <c r="D45" s="142">
        <v>1</v>
      </c>
      <c r="E45" s="143">
        <v>107157.5</v>
      </c>
      <c r="F45" s="144">
        <f t="shared" si="0"/>
        <v>107157.5</v>
      </c>
    </row>
    <row r="46" spans="1:6" s="135" customFormat="1" ht="31.5">
      <c r="A46" s="139">
        <v>42079</v>
      </c>
      <c r="B46" s="140">
        <v>813510090</v>
      </c>
      <c r="C46" s="141" t="s">
        <v>459</v>
      </c>
      <c r="D46" s="142">
        <v>1</v>
      </c>
      <c r="E46" s="143">
        <v>107157.5</v>
      </c>
      <c r="F46" s="144">
        <f t="shared" si="0"/>
        <v>107157.5</v>
      </c>
    </row>
    <row r="47" spans="1:6" s="135" customFormat="1">
      <c r="A47" s="139">
        <v>41968</v>
      </c>
      <c r="B47" s="140">
        <v>813520009</v>
      </c>
      <c r="C47" s="141" t="s">
        <v>460</v>
      </c>
      <c r="D47" s="142">
        <v>1</v>
      </c>
      <c r="E47" s="143">
        <v>116880.2</v>
      </c>
      <c r="F47" s="144">
        <f t="shared" si="0"/>
        <v>116880.2</v>
      </c>
    </row>
    <row r="48" spans="1:6" s="135" customFormat="1" ht="31.5">
      <c r="A48" s="139">
        <v>42060</v>
      </c>
      <c r="B48" s="140">
        <v>813520010</v>
      </c>
      <c r="C48" s="141" t="s">
        <v>461</v>
      </c>
      <c r="D48" s="142">
        <v>3</v>
      </c>
      <c r="E48" s="143">
        <v>116880.14333333333</v>
      </c>
      <c r="F48" s="144">
        <f t="shared" si="0"/>
        <v>350640.43</v>
      </c>
    </row>
    <row r="49" spans="1:6" s="135" customFormat="1" ht="31.5">
      <c r="A49" s="139">
        <v>41972</v>
      </c>
      <c r="B49" s="140">
        <v>813650001</v>
      </c>
      <c r="C49" s="141" t="s">
        <v>384</v>
      </c>
      <c r="D49" s="142">
        <v>1</v>
      </c>
      <c r="E49" s="143">
        <v>1103949.1000000001</v>
      </c>
      <c r="F49" s="144">
        <f t="shared" si="0"/>
        <v>1103949.1000000001</v>
      </c>
    </row>
    <row r="50" spans="1:6" s="135" customFormat="1" ht="31.5">
      <c r="A50" s="139">
        <v>41972</v>
      </c>
      <c r="B50" s="140">
        <v>813650010</v>
      </c>
      <c r="C50" s="141" t="s">
        <v>462</v>
      </c>
      <c r="D50" s="142">
        <v>1</v>
      </c>
      <c r="E50" s="143">
        <v>116726.39999999999</v>
      </c>
      <c r="F50" s="144">
        <f t="shared" si="0"/>
        <v>116726.39999999999</v>
      </c>
    </row>
    <row r="51" spans="1:6" s="135" customFormat="1">
      <c r="A51" s="139">
        <v>41968</v>
      </c>
      <c r="B51" s="140">
        <v>813650017</v>
      </c>
      <c r="C51" s="141" t="s">
        <v>385</v>
      </c>
      <c r="D51" s="142">
        <v>1</v>
      </c>
      <c r="E51" s="143">
        <v>232560</v>
      </c>
      <c r="F51" s="144">
        <f t="shared" si="0"/>
        <v>232560</v>
      </c>
    </row>
    <row r="52" spans="1:6" s="135" customFormat="1">
      <c r="A52" s="139">
        <v>42079</v>
      </c>
      <c r="B52" s="140">
        <v>813650017</v>
      </c>
      <c r="C52" s="141" t="s">
        <v>385</v>
      </c>
      <c r="D52" s="142">
        <v>2</v>
      </c>
      <c r="E52" s="143">
        <v>232560</v>
      </c>
      <c r="F52" s="144">
        <f t="shared" si="0"/>
        <v>465120</v>
      </c>
    </row>
    <row r="53" spans="1:6" s="135" customFormat="1" ht="31.5">
      <c r="A53" s="139">
        <v>42035</v>
      </c>
      <c r="B53" s="140">
        <v>813650027</v>
      </c>
      <c r="C53" s="141" t="s">
        <v>421</v>
      </c>
      <c r="D53" s="142">
        <v>1</v>
      </c>
      <c r="E53" s="143">
        <v>239480</v>
      </c>
      <c r="F53" s="144">
        <f t="shared" si="0"/>
        <v>239480</v>
      </c>
    </row>
    <row r="54" spans="1:6" s="135" customFormat="1">
      <c r="A54" s="139">
        <v>41995</v>
      </c>
      <c r="B54" s="140">
        <v>818020013</v>
      </c>
      <c r="C54" s="141" t="s">
        <v>463</v>
      </c>
      <c r="D54" s="142">
        <v>2</v>
      </c>
      <c r="E54" s="143">
        <v>107100</v>
      </c>
      <c r="F54" s="144">
        <f t="shared" si="0"/>
        <v>214200</v>
      </c>
    </row>
    <row r="55" spans="1:6" s="135" customFormat="1" ht="31.5">
      <c r="A55" s="139">
        <v>42081</v>
      </c>
      <c r="B55" s="140">
        <v>818140008</v>
      </c>
      <c r="C55" s="141" t="s">
        <v>376</v>
      </c>
      <c r="D55" s="142">
        <v>5</v>
      </c>
      <c r="E55" s="143">
        <v>203475.38400000002</v>
      </c>
      <c r="F55" s="144">
        <f t="shared" si="0"/>
        <v>1017376.9200000002</v>
      </c>
    </row>
    <row r="56" spans="1:6" s="135" customFormat="1">
      <c r="A56" s="139">
        <v>41995</v>
      </c>
      <c r="B56" s="140">
        <v>818170011</v>
      </c>
      <c r="C56" s="141" t="s">
        <v>425</v>
      </c>
      <c r="D56" s="142">
        <v>2</v>
      </c>
      <c r="E56" s="143">
        <v>174192.66500000001</v>
      </c>
      <c r="F56" s="144">
        <f t="shared" si="0"/>
        <v>348385.33</v>
      </c>
    </row>
    <row r="57" spans="1:6" s="135" customFormat="1" ht="31.5">
      <c r="A57" s="139">
        <v>41768</v>
      </c>
      <c r="B57" s="140">
        <v>818190010</v>
      </c>
      <c r="C57" s="141" t="s">
        <v>464</v>
      </c>
      <c r="D57" s="142">
        <v>1</v>
      </c>
      <c r="E57" s="143">
        <v>384166</v>
      </c>
      <c r="F57" s="144">
        <f t="shared" si="0"/>
        <v>384166</v>
      </c>
    </row>
    <row r="58" spans="1:6" s="135" customFormat="1" ht="31.5">
      <c r="A58" s="139">
        <v>41795</v>
      </c>
      <c r="B58" s="140">
        <v>818190010</v>
      </c>
      <c r="C58" s="141" t="s">
        <v>464</v>
      </c>
      <c r="D58" s="142">
        <v>1</v>
      </c>
      <c r="E58" s="143">
        <v>384166</v>
      </c>
      <c r="F58" s="144">
        <f t="shared" si="0"/>
        <v>384166</v>
      </c>
    </row>
    <row r="59" spans="1:6" s="135" customFormat="1">
      <c r="A59" s="139">
        <v>41995</v>
      </c>
      <c r="B59" s="140">
        <v>818190012</v>
      </c>
      <c r="C59" s="141" t="s">
        <v>465</v>
      </c>
      <c r="D59" s="142">
        <v>1</v>
      </c>
      <c r="E59" s="143">
        <v>209947.67</v>
      </c>
      <c r="F59" s="144">
        <f t="shared" si="0"/>
        <v>209947.67</v>
      </c>
    </row>
    <row r="60" spans="1:6" s="135" customFormat="1" ht="31.5">
      <c r="A60" s="139">
        <v>41848</v>
      </c>
      <c r="B60" s="140">
        <v>830400001</v>
      </c>
      <c r="C60" s="141" t="s">
        <v>466</v>
      </c>
      <c r="D60" s="142">
        <v>1</v>
      </c>
      <c r="E60" s="143">
        <v>146675.66</v>
      </c>
      <c r="F60" s="144">
        <f t="shared" si="0"/>
        <v>146675.66</v>
      </c>
    </row>
    <row r="61" spans="1:6" s="135" customFormat="1" ht="31.5">
      <c r="A61" s="139">
        <v>41899</v>
      </c>
      <c r="B61" s="140">
        <v>830400001</v>
      </c>
      <c r="C61" s="141" t="s">
        <v>466</v>
      </c>
      <c r="D61" s="142">
        <v>1</v>
      </c>
      <c r="E61" s="143">
        <v>146675.66</v>
      </c>
      <c r="F61" s="144">
        <f t="shared" si="0"/>
        <v>146675.66</v>
      </c>
    </row>
    <row r="62" spans="1:6" s="135" customFormat="1" ht="31.5">
      <c r="A62" s="139">
        <v>41909</v>
      </c>
      <c r="B62" s="140">
        <v>830400001</v>
      </c>
      <c r="C62" s="141" t="s">
        <v>466</v>
      </c>
      <c r="D62" s="142">
        <v>1</v>
      </c>
      <c r="E62" s="143">
        <v>146675.68</v>
      </c>
      <c r="F62" s="144">
        <f t="shared" si="0"/>
        <v>146675.68</v>
      </c>
    </row>
    <row r="63" spans="1:6" s="135" customFormat="1">
      <c r="A63" s="139">
        <v>42052</v>
      </c>
      <c r="B63" s="140">
        <v>831800004</v>
      </c>
      <c r="C63" s="141" t="s">
        <v>467</v>
      </c>
      <c r="D63" s="142">
        <v>1</v>
      </c>
      <c r="E63" s="143">
        <v>142567</v>
      </c>
      <c r="F63" s="144">
        <f t="shared" si="0"/>
        <v>142567</v>
      </c>
    </row>
    <row r="64" spans="1:6" s="135" customFormat="1" ht="31.5">
      <c r="A64" s="139">
        <v>41968</v>
      </c>
      <c r="B64" s="140">
        <v>835510082</v>
      </c>
      <c r="C64" s="141" t="s">
        <v>468</v>
      </c>
      <c r="D64" s="142">
        <v>2</v>
      </c>
      <c r="E64" s="143">
        <v>190050</v>
      </c>
      <c r="F64" s="144">
        <f t="shared" si="0"/>
        <v>380100</v>
      </c>
    </row>
    <row r="65" spans="1:6" s="135" customFormat="1">
      <c r="A65" s="139">
        <v>41975</v>
      </c>
      <c r="B65" s="140">
        <v>835610149</v>
      </c>
      <c r="C65" s="141" t="s">
        <v>469</v>
      </c>
      <c r="D65" s="142">
        <v>1</v>
      </c>
      <c r="E65" s="143">
        <v>220500</v>
      </c>
      <c r="F65" s="144">
        <f t="shared" si="0"/>
        <v>220500</v>
      </c>
    </row>
    <row r="66" spans="1:6" s="135" customFormat="1">
      <c r="A66" s="139">
        <v>42088</v>
      </c>
      <c r="B66" s="140">
        <v>835750023</v>
      </c>
      <c r="C66" s="141" t="s">
        <v>470</v>
      </c>
      <c r="D66" s="142">
        <v>2</v>
      </c>
      <c r="E66" s="143">
        <v>298224.3</v>
      </c>
      <c r="F66" s="144">
        <f t="shared" si="0"/>
        <v>596448.6</v>
      </c>
    </row>
    <row r="67" spans="1:6" s="135" customFormat="1">
      <c r="A67" s="139">
        <v>42088</v>
      </c>
      <c r="B67" s="140">
        <v>835750025</v>
      </c>
      <c r="C67" s="141" t="s">
        <v>471</v>
      </c>
      <c r="D67" s="142">
        <v>1</v>
      </c>
      <c r="E67" s="143">
        <v>178935</v>
      </c>
      <c r="F67" s="144">
        <f t="shared" si="0"/>
        <v>178935</v>
      </c>
    </row>
    <row r="68" spans="1:6" s="135" customFormat="1">
      <c r="A68" s="139">
        <v>41746</v>
      </c>
      <c r="B68" s="140">
        <v>835860044</v>
      </c>
      <c r="C68" s="141" t="s">
        <v>472</v>
      </c>
      <c r="D68" s="142">
        <v>6</v>
      </c>
      <c r="E68" s="143">
        <v>288402.67</v>
      </c>
      <c r="F68" s="144">
        <f t="shared" si="0"/>
        <v>1730416.02</v>
      </c>
    </row>
    <row r="69" spans="1:6" s="135" customFormat="1" ht="31.5">
      <c r="A69" s="139">
        <v>41795</v>
      </c>
      <c r="B69" s="140">
        <v>850030002</v>
      </c>
      <c r="C69" s="141" t="s">
        <v>431</v>
      </c>
      <c r="D69" s="142">
        <v>4</v>
      </c>
      <c r="E69" s="143">
        <v>213431.4</v>
      </c>
      <c r="F69" s="144">
        <f t="shared" ref="F69:F74" si="1">E69*D69</f>
        <v>853725.6</v>
      </c>
    </row>
    <row r="70" spans="1:6" s="135" customFormat="1">
      <c r="A70" s="139">
        <v>42083</v>
      </c>
      <c r="B70" s="140">
        <v>852030048</v>
      </c>
      <c r="C70" s="141" t="s">
        <v>473</v>
      </c>
      <c r="D70" s="142">
        <v>2</v>
      </c>
      <c r="E70" s="143">
        <v>401125.2</v>
      </c>
      <c r="F70" s="144">
        <f t="shared" si="1"/>
        <v>802250.4</v>
      </c>
    </row>
    <row r="71" spans="1:6" s="135" customFormat="1">
      <c r="A71" s="139">
        <v>42086</v>
      </c>
      <c r="B71" s="140">
        <v>852030049</v>
      </c>
      <c r="C71" s="141" t="s">
        <v>474</v>
      </c>
      <c r="D71" s="142">
        <v>3</v>
      </c>
      <c r="E71" s="143">
        <v>1545300</v>
      </c>
      <c r="F71" s="144">
        <f t="shared" si="1"/>
        <v>4635900</v>
      </c>
    </row>
    <row r="72" spans="1:6" s="135" customFormat="1">
      <c r="A72" s="139">
        <v>42059</v>
      </c>
      <c r="B72" s="140">
        <v>852510114</v>
      </c>
      <c r="C72" s="141" t="s">
        <v>475</v>
      </c>
      <c r="D72" s="142">
        <v>2</v>
      </c>
      <c r="E72" s="143">
        <v>900010.34</v>
      </c>
      <c r="F72" s="144">
        <f t="shared" si="1"/>
        <v>1800020.68</v>
      </c>
    </row>
    <row r="73" spans="1:6" s="135" customFormat="1">
      <c r="A73" s="139">
        <v>41778</v>
      </c>
      <c r="B73" s="140">
        <v>852520042</v>
      </c>
      <c r="C73" s="141" t="s">
        <v>476</v>
      </c>
      <c r="D73" s="142">
        <v>1</v>
      </c>
      <c r="E73" s="143">
        <v>130362.31</v>
      </c>
      <c r="F73" s="144">
        <f t="shared" si="1"/>
        <v>130362.31</v>
      </c>
    </row>
    <row r="74" spans="1:6" s="135" customFormat="1">
      <c r="A74" s="139">
        <v>41974</v>
      </c>
      <c r="B74" s="140">
        <v>854020020</v>
      </c>
      <c r="C74" s="141" t="s">
        <v>477</v>
      </c>
      <c r="D74" s="142">
        <v>1</v>
      </c>
      <c r="E74" s="143">
        <v>261362.85</v>
      </c>
      <c r="F74" s="144">
        <f t="shared" si="1"/>
        <v>261362.85</v>
      </c>
    </row>
    <row r="75" spans="1:6" s="135" customFormat="1">
      <c r="C75" s="135" t="s">
        <v>686</v>
      </c>
      <c r="D75" s="607" t="s">
        <v>438</v>
      </c>
      <c r="E75" s="607"/>
      <c r="F75" s="153">
        <f>SUM(F5:F74)</f>
        <v>36907379.049999997</v>
      </c>
    </row>
  </sheetData>
  <mergeCells count="4">
    <mergeCell ref="B1:F1"/>
    <mergeCell ref="B2:F2"/>
    <mergeCell ref="A3:F3"/>
    <mergeCell ref="D75:E7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75"/>
  <sheetViews>
    <sheetView topLeftCell="B1" workbookViewId="0">
      <selection sqref="A1:XFD1048576"/>
    </sheetView>
  </sheetViews>
  <sheetFormatPr defaultColWidth="8.83203125" defaultRowHeight="15"/>
  <cols>
    <col min="1" max="1" width="14" style="154" hidden="1" customWidth="1"/>
    <col min="2" max="2" width="15.83203125" style="154" customWidth="1"/>
    <col min="3" max="3" width="58.6640625" style="154" customWidth="1"/>
    <col min="4" max="5" width="10.1640625" style="154" hidden="1" customWidth="1"/>
    <col min="6" max="6" width="15.6640625" style="154" bestFit="1" customWidth="1"/>
    <col min="7" max="16384" width="8.83203125" style="154"/>
  </cols>
  <sheetData>
    <row r="1" spans="1:6" ht="15.75">
      <c r="A1" s="605" t="s">
        <v>301</v>
      </c>
      <c r="B1" s="605"/>
      <c r="C1" s="605"/>
      <c r="D1" s="605"/>
      <c r="E1" s="605"/>
      <c r="F1" s="605"/>
    </row>
    <row r="2" spans="1:6" ht="15" customHeight="1">
      <c r="A2" s="611" t="s">
        <v>478</v>
      </c>
      <c r="B2" s="611"/>
      <c r="C2" s="611"/>
      <c r="D2" s="611"/>
      <c r="E2" s="611"/>
      <c r="F2" s="611"/>
    </row>
    <row r="3" spans="1:6" s="155" customFormat="1" ht="15.75">
      <c r="A3" s="612" t="s">
        <v>479</v>
      </c>
      <c r="B3" s="612"/>
      <c r="C3" s="612"/>
      <c r="D3" s="612"/>
      <c r="E3" s="612"/>
      <c r="F3" s="612"/>
    </row>
    <row r="4" spans="1:6" s="155" customFormat="1" ht="47.25">
      <c r="A4" s="136" t="s">
        <v>360</v>
      </c>
      <c r="B4" s="137" t="s">
        <v>361</v>
      </c>
      <c r="C4" s="137" t="s">
        <v>362</v>
      </c>
      <c r="D4" s="137" t="s">
        <v>363</v>
      </c>
      <c r="E4" s="137" t="s">
        <v>364</v>
      </c>
      <c r="F4" s="152" t="s">
        <v>365</v>
      </c>
    </row>
    <row r="5" spans="1:6" s="155" customFormat="1" ht="31.5">
      <c r="A5" s="139">
        <v>42413</v>
      </c>
      <c r="B5" s="140">
        <v>814030030</v>
      </c>
      <c r="C5" s="141" t="s">
        <v>480</v>
      </c>
      <c r="D5" s="142">
        <v>3</v>
      </c>
      <c r="E5" s="144">
        <v>504271.66666666669</v>
      </c>
      <c r="F5" s="143">
        <f>E5*D5</f>
        <v>1512815</v>
      </c>
    </row>
    <row r="6" spans="1:6" s="155" customFormat="1" ht="15.75">
      <c r="A6" s="139">
        <v>42424</v>
      </c>
      <c r="B6" s="140">
        <v>814210003</v>
      </c>
      <c r="C6" s="141" t="s">
        <v>368</v>
      </c>
      <c r="D6" s="142">
        <v>1</v>
      </c>
      <c r="E6" s="144">
        <v>143259</v>
      </c>
      <c r="F6" s="143">
        <f t="shared" ref="F6:F69" si="0">E6*D6</f>
        <v>143259</v>
      </c>
    </row>
    <row r="7" spans="1:6" s="155" customFormat="1" ht="15.75">
      <c r="A7" s="139">
        <v>42457</v>
      </c>
      <c r="B7" s="140">
        <v>814410020</v>
      </c>
      <c r="C7" s="141" t="s">
        <v>407</v>
      </c>
      <c r="D7" s="142">
        <v>1</v>
      </c>
      <c r="E7" s="144">
        <v>144218.32999999999</v>
      </c>
      <c r="F7" s="143">
        <f t="shared" si="0"/>
        <v>144218.32999999999</v>
      </c>
    </row>
    <row r="8" spans="1:6" s="155" customFormat="1" ht="15.75">
      <c r="A8" s="139">
        <v>42457</v>
      </c>
      <c r="B8" s="140">
        <v>814460002</v>
      </c>
      <c r="C8" s="141" t="s">
        <v>408</v>
      </c>
      <c r="D8" s="142">
        <v>2</v>
      </c>
      <c r="E8" s="144">
        <v>333285</v>
      </c>
      <c r="F8" s="143">
        <f t="shared" si="0"/>
        <v>666570</v>
      </c>
    </row>
    <row r="9" spans="1:6" s="155" customFormat="1" ht="15.75">
      <c r="A9" s="139">
        <v>42427</v>
      </c>
      <c r="B9" s="140">
        <v>814510237</v>
      </c>
      <c r="C9" s="141" t="s">
        <v>409</v>
      </c>
      <c r="D9" s="142">
        <v>1</v>
      </c>
      <c r="E9" s="144">
        <v>162099</v>
      </c>
      <c r="F9" s="143">
        <f t="shared" si="0"/>
        <v>162099</v>
      </c>
    </row>
    <row r="10" spans="1:6" s="155" customFormat="1" ht="15.75">
      <c r="A10" s="139">
        <v>42427</v>
      </c>
      <c r="B10" s="140">
        <v>814510261</v>
      </c>
      <c r="C10" s="141" t="s">
        <v>481</v>
      </c>
      <c r="D10" s="142">
        <v>1</v>
      </c>
      <c r="E10" s="144">
        <v>1056132</v>
      </c>
      <c r="F10" s="143">
        <f t="shared" si="0"/>
        <v>1056132</v>
      </c>
    </row>
    <row r="11" spans="1:6" s="155" customFormat="1" ht="31.5">
      <c r="A11" s="139">
        <v>42427</v>
      </c>
      <c r="B11" s="140">
        <v>814510309</v>
      </c>
      <c r="C11" s="141" t="s">
        <v>449</v>
      </c>
      <c r="D11" s="142">
        <v>1</v>
      </c>
      <c r="E11" s="144">
        <v>278295</v>
      </c>
      <c r="F11" s="143">
        <f t="shared" si="0"/>
        <v>278295</v>
      </c>
    </row>
    <row r="12" spans="1:6" s="155" customFormat="1" ht="15.75">
      <c r="A12" s="139">
        <v>42427</v>
      </c>
      <c r="B12" s="140">
        <v>814510335</v>
      </c>
      <c r="C12" s="141" t="s">
        <v>482</v>
      </c>
      <c r="D12" s="142">
        <v>1</v>
      </c>
      <c r="E12" s="144">
        <v>267121</v>
      </c>
      <c r="F12" s="143">
        <f t="shared" si="0"/>
        <v>267121</v>
      </c>
    </row>
    <row r="13" spans="1:6" s="155" customFormat="1" ht="31.5">
      <c r="A13" s="139">
        <v>42188</v>
      </c>
      <c r="B13" s="140">
        <v>811100011</v>
      </c>
      <c r="C13" s="141" t="s">
        <v>413</v>
      </c>
      <c r="D13" s="142">
        <v>1</v>
      </c>
      <c r="E13" s="144">
        <v>312700.59999999998</v>
      </c>
      <c r="F13" s="143">
        <f t="shared" si="0"/>
        <v>312700.59999999998</v>
      </c>
    </row>
    <row r="14" spans="1:6" s="155" customFormat="1" ht="31.5">
      <c r="A14" s="139">
        <v>42255</v>
      </c>
      <c r="B14" s="140">
        <v>811100011</v>
      </c>
      <c r="C14" s="141" t="s">
        <v>413</v>
      </c>
      <c r="D14" s="142">
        <v>1</v>
      </c>
      <c r="E14" s="144">
        <v>312700.59999999998</v>
      </c>
      <c r="F14" s="143">
        <f t="shared" si="0"/>
        <v>312700.59999999998</v>
      </c>
    </row>
    <row r="15" spans="1:6" s="155" customFormat="1" ht="31.5">
      <c r="A15" s="139">
        <v>42355</v>
      </c>
      <c r="B15" s="140">
        <v>811100011</v>
      </c>
      <c r="C15" s="141" t="s">
        <v>413</v>
      </c>
      <c r="D15" s="142">
        <v>1</v>
      </c>
      <c r="E15" s="144">
        <v>312700.59999999998</v>
      </c>
      <c r="F15" s="143">
        <f t="shared" si="0"/>
        <v>312700.59999999998</v>
      </c>
    </row>
    <row r="16" spans="1:6" s="155" customFormat="1" ht="15.75">
      <c r="A16" s="139">
        <v>42160</v>
      </c>
      <c r="B16" s="140">
        <v>811100017</v>
      </c>
      <c r="C16" s="141" t="s">
        <v>483</v>
      </c>
      <c r="D16" s="142">
        <v>1</v>
      </c>
      <c r="E16" s="144">
        <v>584299.6</v>
      </c>
      <c r="F16" s="143">
        <f t="shared" si="0"/>
        <v>584299.6</v>
      </c>
    </row>
    <row r="17" spans="1:6" s="155" customFormat="1" ht="15.75">
      <c r="A17" s="139">
        <v>42179</v>
      </c>
      <c r="B17" s="140">
        <v>811100017</v>
      </c>
      <c r="C17" s="141" t="s">
        <v>483</v>
      </c>
      <c r="D17" s="142">
        <v>1</v>
      </c>
      <c r="E17" s="144">
        <v>584299.6</v>
      </c>
      <c r="F17" s="143">
        <f t="shared" si="0"/>
        <v>584299.6</v>
      </c>
    </row>
    <row r="18" spans="1:6" s="155" customFormat="1" ht="15.75">
      <c r="A18" s="139">
        <v>42287</v>
      </c>
      <c r="B18" s="140">
        <v>811100017</v>
      </c>
      <c r="C18" s="141" t="s">
        <v>483</v>
      </c>
      <c r="D18" s="142">
        <v>2</v>
      </c>
      <c r="E18" s="144">
        <v>584299.6</v>
      </c>
      <c r="F18" s="143">
        <f t="shared" si="0"/>
        <v>1168599.2</v>
      </c>
    </row>
    <row r="19" spans="1:6" s="155" customFormat="1" ht="15.75">
      <c r="A19" s="139">
        <v>42373</v>
      </c>
      <c r="B19" s="140">
        <v>811100017</v>
      </c>
      <c r="C19" s="141" t="s">
        <v>483</v>
      </c>
      <c r="D19" s="142">
        <v>1</v>
      </c>
      <c r="E19" s="144">
        <v>584299.6</v>
      </c>
      <c r="F19" s="143">
        <f t="shared" si="0"/>
        <v>584299.6</v>
      </c>
    </row>
    <row r="20" spans="1:6" s="155" customFormat="1" ht="31.5">
      <c r="A20" s="139">
        <v>42107</v>
      </c>
      <c r="B20" s="140">
        <v>818040014</v>
      </c>
      <c r="C20" s="141" t="s">
        <v>375</v>
      </c>
      <c r="D20" s="142">
        <v>1</v>
      </c>
      <c r="E20" s="144">
        <v>537116.62</v>
      </c>
      <c r="F20" s="143">
        <f t="shared" si="0"/>
        <v>537116.62</v>
      </c>
    </row>
    <row r="21" spans="1:6" s="155" customFormat="1" ht="31.5">
      <c r="A21" s="139">
        <v>42179</v>
      </c>
      <c r="B21" s="140">
        <v>818040014</v>
      </c>
      <c r="C21" s="141" t="s">
        <v>375</v>
      </c>
      <c r="D21" s="142">
        <v>1</v>
      </c>
      <c r="E21" s="144">
        <v>537116.62</v>
      </c>
      <c r="F21" s="143">
        <f t="shared" si="0"/>
        <v>537116.62</v>
      </c>
    </row>
    <row r="22" spans="1:6" s="155" customFormat="1" ht="31.5">
      <c r="A22" s="139">
        <v>42251</v>
      </c>
      <c r="B22" s="140">
        <v>818040014</v>
      </c>
      <c r="C22" s="141" t="s">
        <v>375</v>
      </c>
      <c r="D22" s="142">
        <v>1</v>
      </c>
      <c r="E22" s="144">
        <v>537116.62</v>
      </c>
      <c r="F22" s="143">
        <f t="shared" si="0"/>
        <v>537116.62</v>
      </c>
    </row>
    <row r="23" spans="1:6" s="155" customFormat="1" ht="31.5">
      <c r="A23" s="139">
        <v>42373</v>
      </c>
      <c r="B23" s="140">
        <v>818040014</v>
      </c>
      <c r="C23" s="141" t="s">
        <v>375</v>
      </c>
      <c r="D23" s="142">
        <v>1</v>
      </c>
      <c r="E23" s="144">
        <v>537116.63</v>
      </c>
      <c r="F23" s="143">
        <f t="shared" si="0"/>
        <v>537116.63</v>
      </c>
    </row>
    <row r="24" spans="1:6" s="155" customFormat="1" ht="31.5">
      <c r="A24" s="139">
        <v>42107</v>
      </c>
      <c r="B24" s="140">
        <v>818040015</v>
      </c>
      <c r="C24" s="141" t="s">
        <v>375</v>
      </c>
      <c r="D24" s="142">
        <v>1</v>
      </c>
      <c r="E24" s="144">
        <v>499681.9</v>
      </c>
      <c r="F24" s="143">
        <f t="shared" si="0"/>
        <v>499681.9</v>
      </c>
    </row>
    <row r="25" spans="1:6" s="155" customFormat="1" ht="31.5">
      <c r="A25" s="139">
        <v>42179</v>
      </c>
      <c r="B25" s="140">
        <v>818040015</v>
      </c>
      <c r="C25" s="141" t="s">
        <v>375</v>
      </c>
      <c r="D25" s="142">
        <v>1</v>
      </c>
      <c r="E25" s="144">
        <v>499681.9</v>
      </c>
      <c r="F25" s="143">
        <f t="shared" si="0"/>
        <v>499681.9</v>
      </c>
    </row>
    <row r="26" spans="1:6" s="155" customFormat="1" ht="31.5">
      <c r="A26" s="139">
        <v>42256</v>
      </c>
      <c r="B26" s="140">
        <v>818040015</v>
      </c>
      <c r="C26" s="141" t="s">
        <v>375</v>
      </c>
      <c r="D26" s="142">
        <v>1</v>
      </c>
      <c r="E26" s="144">
        <v>499681.9</v>
      </c>
      <c r="F26" s="143">
        <f t="shared" si="0"/>
        <v>499681.9</v>
      </c>
    </row>
    <row r="27" spans="1:6" s="155" customFormat="1" ht="31.5">
      <c r="A27" s="139">
        <v>42458</v>
      </c>
      <c r="B27" s="140">
        <v>818040015</v>
      </c>
      <c r="C27" s="141" t="s">
        <v>375</v>
      </c>
      <c r="D27" s="142">
        <v>1</v>
      </c>
      <c r="E27" s="144">
        <v>499681.9</v>
      </c>
      <c r="F27" s="143">
        <f t="shared" si="0"/>
        <v>499681.9</v>
      </c>
    </row>
    <row r="28" spans="1:6" s="155" customFormat="1" ht="15.75">
      <c r="A28" s="139">
        <v>42188</v>
      </c>
      <c r="B28" s="140">
        <v>818040036</v>
      </c>
      <c r="C28" s="141" t="s">
        <v>484</v>
      </c>
      <c r="D28" s="142">
        <v>1</v>
      </c>
      <c r="E28" s="144">
        <v>548140.81000000006</v>
      </c>
      <c r="F28" s="143">
        <f t="shared" si="0"/>
        <v>548140.81000000006</v>
      </c>
    </row>
    <row r="29" spans="1:6" s="155" customFormat="1" ht="31.5">
      <c r="A29" s="139">
        <v>42188</v>
      </c>
      <c r="B29" s="140">
        <v>818140008</v>
      </c>
      <c r="C29" s="141" t="s">
        <v>376</v>
      </c>
      <c r="D29" s="142">
        <v>3</v>
      </c>
      <c r="E29" s="144">
        <v>208178.75</v>
      </c>
      <c r="F29" s="143">
        <f t="shared" si="0"/>
        <v>624536.25</v>
      </c>
    </row>
    <row r="30" spans="1:6" s="155" customFormat="1" ht="31.5">
      <c r="A30" s="139">
        <v>42199</v>
      </c>
      <c r="B30" s="140">
        <v>818140008</v>
      </c>
      <c r="C30" s="141" t="s">
        <v>376</v>
      </c>
      <c r="D30" s="142">
        <v>9</v>
      </c>
      <c r="E30" s="144">
        <v>208178.75</v>
      </c>
      <c r="F30" s="143">
        <f t="shared" si="0"/>
        <v>1873608.75</v>
      </c>
    </row>
    <row r="31" spans="1:6" s="155" customFormat="1" ht="15.75">
      <c r="A31" s="139">
        <v>42427</v>
      </c>
      <c r="B31" s="140">
        <v>810010009</v>
      </c>
      <c r="C31" s="141" t="s">
        <v>369</v>
      </c>
      <c r="D31" s="142">
        <v>1</v>
      </c>
      <c r="E31" s="144">
        <v>303960</v>
      </c>
      <c r="F31" s="143">
        <f t="shared" si="0"/>
        <v>303960</v>
      </c>
    </row>
    <row r="32" spans="1:6" s="155" customFormat="1" ht="15.75">
      <c r="A32" s="139">
        <v>42165</v>
      </c>
      <c r="B32" s="140">
        <v>810060002</v>
      </c>
      <c r="C32" s="141" t="s">
        <v>450</v>
      </c>
      <c r="D32" s="142">
        <v>1</v>
      </c>
      <c r="E32" s="144">
        <v>230895</v>
      </c>
      <c r="F32" s="143">
        <f t="shared" si="0"/>
        <v>230895</v>
      </c>
    </row>
    <row r="33" spans="1:6" s="155" customFormat="1" ht="15.75">
      <c r="A33" s="139">
        <v>42454</v>
      </c>
      <c r="B33" s="140">
        <v>810060002</v>
      </c>
      <c r="C33" s="141" t="s">
        <v>450</v>
      </c>
      <c r="D33" s="142">
        <v>1</v>
      </c>
      <c r="E33" s="144">
        <v>230895</v>
      </c>
      <c r="F33" s="143">
        <f t="shared" si="0"/>
        <v>230895</v>
      </c>
    </row>
    <row r="34" spans="1:6" s="155" customFormat="1" ht="15.75">
      <c r="A34" s="139">
        <v>42165</v>
      </c>
      <c r="B34" s="140">
        <v>810060003</v>
      </c>
      <c r="C34" s="141" t="s">
        <v>451</v>
      </c>
      <c r="D34" s="142">
        <v>1</v>
      </c>
      <c r="E34" s="144">
        <v>230895</v>
      </c>
      <c r="F34" s="143">
        <f t="shared" si="0"/>
        <v>230895</v>
      </c>
    </row>
    <row r="35" spans="1:6" s="155" customFormat="1" ht="15.75">
      <c r="A35" s="139">
        <v>42454</v>
      </c>
      <c r="B35" s="140">
        <v>810060003</v>
      </c>
      <c r="C35" s="141" t="s">
        <v>451</v>
      </c>
      <c r="D35" s="142">
        <v>1</v>
      </c>
      <c r="E35" s="144">
        <v>230895</v>
      </c>
      <c r="F35" s="143">
        <f t="shared" si="0"/>
        <v>230895</v>
      </c>
    </row>
    <row r="36" spans="1:6" s="155" customFormat="1" ht="15.75">
      <c r="A36" s="139">
        <v>42163</v>
      </c>
      <c r="B36" s="140">
        <v>810070035</v>
      </c>
      <c r="C36" s="141" t="s">
        <v>370</v>
      </c>
      <c r="D36" s="142">
        <v>2</v>
      </c>
      <c r="E36" s="144">
        <v>281430.5</v>
      </c>
      <c r="F36" s="143">
        <f t="shared" si="0"/>
        <v>562861</v>
      </c>
    </row>
    <row r="37" spans="1:6" s="155" customFormat="1" ht="15.75">
      <c r="A37" s="139">
        <v>42305</v>
      </c>
      <c r="B37" s="140">
        <v>810070035</v>
      </c>
      <c r="C37" s="141" t="s">
        <v>370</v>
      </c>
      <c r="D37" s="142">
        <v>1</v>
      </c>
      <c r="E37" s="144">
        <v>281430.5</v>
      </c>
      <c r="F37" s="143">
        <f t="shared" si="0"/>
        <v>281430.5</v>
      </c>
    </row>
    <row r="38" spans="1:6" s="155" customFormat="1" ht="15.75">
      <c r="A38" s="139">
        <v>42444</v>
      </c>
      <c r="B38" s="140">
        <v>810070035</v>
      </c>
      <c r="C38" s="141" t="s">
        <v>370</v>
      </c>
      <c r="D38" s="142">
        <v>1</v>
      </c>
      <c r="E38" s="144">
        <v>281430.5</v>
      </c>
      <c r="F38" s="143">
        <f t="shared" si="0"/>
        <v>281430.5</v>
      </c>
    </row>
    <row r="39" spans="1:6" s="155" customFormat="1" ht="15.75">
      <c r="A39" s="139">
        <v>42258</v>
      </c>
      <c r="B39" s="140">
        <v>810100004</v>
      </c>
      <c r="C39" s="141" t="s">
        <v>371</v>
      </c>
      <c r="D39" s="142">
        <v>1</v>
      </c>
      <c r="E39" s="144">
        <v>307282.74</v>
      </c>
      <c r="F39" s="143">
        <f t="shared" si="0"/>
        <v>307282.74</v>
      </c>
    </row>
    <row r="40" spans="1:6" s="155" customFormat="1" ht="15.75">
      <c r="A40" s="139">
        <v>42314</v>
      </c>
      <c r="B40" s="140">
        <v>810100004</v>
      </c>
      <c r="C40" s="141" t="s">
        <v>371</v>
      </c>
      <c r="D40" s="142">
        <v>1</v>
      </c>
      <c r="E40" s="144">
        <v>307282.74</v>
      </c>
      <c r="F40" s="143">
        <f t="shared" si="0"/>
        <v>307282.74</v>
      </c>
    </row>
    <row r="41" spans="1:6" s="155" customFormat="1" ht="31.5">
      <c r="A41" s="139">
        <v>42258</v>
      </c>
      <c r="B41" s="140">
        <v>810100007</v>
      </c>
      <c r="C41" s="141" t="s">
        <v>372</v>
      </c>
      <c r="D41" s="142">
        <v>1</v>
      </c>
      <c r="E41" s="144">
        <v>205641.31</v>
      </c>
      <c r="F41" s="143">
        <f t="shared" si="0"/>
        <v>205641.31</v>
      </c>
    </row>
    <row r="42" spans="1:6" s="155" customFormat="1" ht="31.5">
      <c r="A42" s="139">
        <v>42327</v>
      </c>
      <c r="B42" s="140">
        <v>810100007</v>
      </c>
      <c r="C42" s="141" t="s">
        <v>372</v>
      </c>
      <c r="D42" s="142">
        <v>1</v>
      </c>
      <c r="E42" s="144">
        <v>205641.31</v>
      </c>
      <c r="F42" s="143">
        <f t="shared" si="0"/>
        <v>205641.31</v>
      </c>
    </row>
    <row r="43" spans="1:6" s="155" customFormat="1" ht="31.5">
      <c r="A43" s="139">
        <v>42373</v>
      </c>
      <c r="B43" s="140">
        <v>812020094</v>
      </c>
      <c r="C43" s="141" t="s">
        <v>485</v>
      </c>
      <c r="D43" s="142">
        <v>1</v>
      </c>
      <c r="E43" s="144">
        <v>2468400</v>
      </c>
      <c r="F43" s="143">
        <f t="shared" si="0"/>
        <v>2468400</v>
      </c>
    </row>
    <row r="44" spans="1:6" s="155" customFormat="1" ht="31.5">
      <c r="A44" s="139">
        <v>42373</v>
      </c>
      <c r="B44" s="140">
        <v>812020095</v>
      </c>
      <c r="C44" s="141" t="s">
        <v>486</v>
      </c>
      <c r="D44" s="142">
        <v>1</v>
      </c>
      <c r="E44" s="144">
        <v>2468400</v>
      </c>
      <c r="F44" s="143">
        <f t="shared" si="0"/>
        <v>2468400</v>
      </c>
    </row>
    <row r="45" spans="1:6" s="155" customFormat="1" ht="15.75">
      <c r="A45" s="139">
        <v>42438</v>
      </c>
      <c r="B45" s="140">
        <v>812410196</v>
      </c>
      <c r="C45" s="141" t="s">
        <v>379</v>
      </c>
      <c r="D45" s="142">
        <v>3</v>
      </c>
      <c r="E45" s="144">
        <v>136158.83333333334</v>
      </c>
      <c r="F45" s="143">
        <f t="shared" si="0"/>
        <v>408476.5</v>
      </c>
    </row>
    <row r="46" spans="1:6" s="155" customFormat="1" ht="15.75">
      <c r="A46" s="139">
        <v>42453</v>
      </c>
      <c r="B46" s="140">
        <v>812410196</v>
      </c>
      <c r="C46" s="141" t="s">
        <v>379</v>
      </c>
      <c r="D46" s="142">
        <v>3</v>
      </c>
      <c r="E46" s="144">
        <v>136158.83333333334</v>
      </c>
      <c r="F46" s="143">
        <f t="shared" si="0"/>
        <v>408476.5</v>
      </c>
    </row>
    <row r="47" spans="1:6" s="155" customFormat="1" ht="15.75">
      <c r="A47" s="139">
        <v>42350</v>
      </c>
      <c r="B47" s="140">
        <v>813550008</v>
      </c>
      <c r="C47" s="141" t="s">
        <v>487</v>
      </c>
      <c r="D47" s="142">
        <v>1</v>
      </c>
      <c r="E47" s="144">
        <v>308804</v>
      </c>
      <c r="F47" s="143">
        <f t="shared" si="0"/>
        <v>308804</v>
      </c>
    </row>
    <row r="48" spans="1:6" s="155" customFormat="1" ht="15.75">
      <c r="A48" s="139">
        <v>42440</v>
      </c>
      <c r="B48" s="140">
        <v>813650017</v>
      </c>
      <c r="C48" s="141" t="s">
        <v>385</v>
      </c>
      <c r="D48" s="142">
        <v>1</v>
      </c>
      <c r="E48" s="144">
        <v>215220</v>
      </c>
      <c r="F48" s="143">
        <f t="shared" si="0"/>
        <v>215220</v>
      </c>
    </row>
    <row r="49" spans="1:6" s="155" customFormat="1" ht="31.5">
      <c r="A49" s="139">
        <v>42440</v>
      </c>
      <c r="B49" s="140">
        <v>813650027</v>
      </c>
      <c r="C49" s="141" t="s">
        <v>421</v>
      </c>
      <c r="D49" s="142">
        <v>1</v>
      </c>
      <c r="E49" s="144">
        <v>225420</v>
      </c>
      <c r="F49" s="143">
        <f t="shared" si="0"/>
        <v>225420</v>
      </c>
    </row>
    <row r="50" spans="1:6" s="155" customFormat="1" ht="15.75">
      <c r="A50" s="139">
        <v>42165</v>
      </c>
      <c r="B50" s="140">
        <v>813750087</v>
      </c>
      <c r="C50" s="141" t="s">
        <v>422</v>
      </c>
      <c r="D50" s="142">
        <v>1</v>
      </c>
      <c r="E50" s="144">
        <v>237420.75</v>
      </c>
      <c r="F50" s="143">
        <f t="shared" si="0"/>
        <v>237420.75</v>
      </c>
    </row>
    <row r="51" spans="1:6" s="155" customFormat="1" ht="15.75">
      <c r="A51" s="139">
        <v>42261</v>
      </c>
      <c r="B51" s="140">
        <v>813750087</v>
      </c>
      <c r="C51" s="141" t="s">
        <v>422</v>
      </c>
      <c r="D51" s="142">
        <v>1</v>
      </c>
      <c r="E51" s="144">
        <v>237420.75</v>
      </c>
      <c r="F51" s="143">
        <f t="shared" si="0"/>
        <v>237420.75</v>
      </c>
    </row>
    <row r="52" spans="1:6" s="155" customFormat="1" ht="15.75">
      <c r="A52" s="139">
        <v>42158</v>
      </c>
      <c r="B52" s="140">
        <v>818040001</v>
      </c>
      <c r="C52" s="141" t="s">
        <v>424</v>
      </c>
      <c r="D52" s="142">
        <v>1</v>
      </c>
      <c r="E52" s="144">
        <v>1133992.92</v>
      </c>
      <c r="F52" s="143">
        <f t="shared" si="0"/>
        <v>1133992.92</v>
      </c>
    </row>
    <row r="53" spans="1:6" s="155" customFormat="1" ht="15.75">
      <c r="A53" s="139">
        <v>42306</v>
      </c>
      <c r="B53" s="140">
        <v>818170012</v>
      </c>
      <c r="C53" s="141" t="s">
        <v>488</v>
      </c>
      <c r="D53" s="142">
        <v>3</v>
      </c>
      <c r="E53" s="144">
        <v>225012</v>
      </c>
      <c r="F53" s="143">
        <f t="shared" si="0"/>
        <v>675036</v>
      </c>
    </row>
    <row r="54" spans="1:6" s="155" customFormat="1" ht="15.75">
      <c r="A54" s="139">
        <v>42151</v>
      </c>
      <c r="B54" s="140">
        <v>818200004</v>
      </c>
      <c r="C54" s="141" t="s">
        <v>489</v>
      </c>
      <c r="D54" s="142">
        <v>1</v>
      </c>
      <c r="E54" s="144">
        <v>236145</v>
      </c>
      <c r="F54" s="143">
        <f t="shared" si="0"/>
        <v>236145</v>
      </c>
    </row>
    <row r="55" spans="1:6" s="155" customFormat="1" ht="15.75">
      <c r="A55" s="139">
        <v>42452</v>
      </c>
      <c r="B55" s="140">
        <v>818210003</v>
      </c>
      <c r="C55" s="141" t="s">
        <v>490</v>
      </c>
      <c r="D55" s="142">
        <v>1</v>
      </c>
      <c r="E55" s="144">
        <v>140767.5</v>
      </c>
      <c r="F55" s="143">
        <f t="shared" si="0"/>
        <v>140767.5</v>
      </c>
    </row>
    <row r="56" spans="1:6" s="155" customFormat="1" ht="15.75">
      <c r="A56" s="139">
        <v>42453</v>
      </c>
      <c r="B56" s="140">
        <v>831800004</v>
      </c>
      <c r="C56" s="141" t="s">
        <v>467</v>
      </c>
      <c r="D56" s="142">
        <v>1</v>
      </c>
      <c r="E56" s="144">
        <v>142567</v>
      </c>
      <c r="F56" s="143">
        <f t="shared" si="0"/>
        <v>142567</v>
      </c>
    </row>
    <row r="57" spans="1:6" s="155" customFormat="1" ht="31.5">
      <c r="A57" s="139">
        <v>42188</v>
      </c>
      <c r="B57" s="140">
        <v>831870001</v>
      </c>
      <c r="C57" s="141" t="s">
        <v>491</v>
      </c>
      <c r="D57" s="142">
        <v>4</v>
      </c>
      <c r="E57" s="144">
        <v>1009788.65</v>
      </c>
      <c r="F57" s="143">
        <f t="shared" si="0"/>
        <v>4039154.6</v>
      </c>
    </row>
    <row r="58" spans="1:6" s="155" customFormat="1" ht="31.5">
      <c r="A58" s="139">
        <v>42102</v>
      </c>
      <c r="B58" s="140">
        <v>833260003</v>
      </c>
      <c r="C58" s="141" t="s">
        <v>492</v>
      </c>
      <c r="D58" s="142">
        <v>1</v>
      </c>
      <c r="E58" s="144">
        <v>293880</v>
      </c>
      <c r="F58" s="143">
        <f t="shared" si="0"/>
        <v>293880</v>
      </c>
    </row>
    <row r="59" spans="1:6" s="155" customFormat="1" ht="31.5">
      <c r="A59" s="139">
        <v>42188</v>
      </c>
      <c r="B59" s="140">
        <v>835610119</v>
      </c>
      <c r="C59" s="141" t="s">
        <v>493</v>
      </c>
      <c r="D59" s="142">
        <v>1</v>
      </c>
      <c r="E59" s="144">
        <v>427523</v>
      </c>
      <c r="F59" s="143">
        <f t="shared" si="0"/>
        <v>427523</v>
      </c>
    </row>
    <row r="60" spans="1:6" s="155" customFormat="1" ht="15.75">
      <c r="A60" s="139">
        <v>42144</v>
      </c>
      <c r="B60" s="140">
        <v>851050015</v>
      </c>
      <c r="C60" s="141" t="s">
        <v>494</v>
      </c>
      <c r="D60" s="142">
        <v>2</v>
      </c>
      <c r="E60" s="144">
        <v>108945.60000000001</v>
      </c>
      <c r="F60" s="143">
        <f t="shared" si="0"/>
        <v>217891.20000000001</v>
      </c>
    </row>
    <row r="61" spans="1:6" s="155" customFormat="1" ht="15.75">
      <c r="A61" s="139">
        <v>42304</v>
      </c>
      <c r="B61" s="140">
        <v>852020026</v>
      </c>
      <c r="C61" s="141" t="s">
        <v>495</v>
      </c>
      <c r="D61" s="142">
        <v>7</v>
      </c>
      <c r="E61" s="144">
        <v>514490.8</v>
      </c>
      <c r="F61" s="143">
        <f t="shared" si="0"/>
        <v>3601435.6</v>
      </c>
    </row>
    <row r="62" spans="1:6" s="155" customFormat="1" ht="15.75">
      <c r="A62" s="139">
        <v>42304</v>
      </c>
      <c r="B62" s="140">
        <v>852020028</v>
      </c>
      <c r="C62" s="141" t="s">
        <v>496</v>
      </c>
      <c r="D62" s="142">
        <v>30</v>
      </c>
      <c r="E62" s="144">
        <v>302602.63800000004</v>
      </c>
      <c r="F62" s="143">
        <f t="shared" si="0"/>
        <v>9078079.1400000006</v>
      </c>
    </row>
    <row r="63" spans="1:6" s="155" customFormat="1" ht="15.75">
      <c r="A63" s="139">
        <v>42304</v>
      </c>
      <c r="B63" s="140">
        <v>852020030</v>
      </c>
      <c r="C63" s="141" t="s">
        <v>497</v>
      </c>
      <c r="D63" s="142">
        <v>20</v>
      </c>
      <c r="E63" s="144">
        <v>436624.9</v>
      </c>
      <c r="F63" s="143">
        <f t="shared" si="0"/>
        <v>8732498</v>
      </c>
    </row>
    <row r="64" spans="1:6" s="155" customFormat="1" ht="15.75">
      <c r="A64" s="139">
        <v>42304</v>
      </c>
      <c r="B64" s="140">
        <v>852020031</v>
      </c>
      <c r="C64" s="141" t="s">
        <v>498</v>
      </c>
      <c r="D64" s="142">
        <v>1</v>
      </c>
      <c r="E64" s="144">
        <v>694812.4</v>
      </c>
      <c r="F64" s="143">
        <f t="shared" si="0"/>
        <v>694812.4</v>
      </c>
    </row>
    <row r="65" spans="1:6" s="155" customFormat="1" ht="15.75">
      <c r="A65" s="139">
        <v>42304</v>
      </c>
      <c r="B65" s="140">
        <v>852020032</v>
      </c>
      <c r="C65" s="141" t="s">
        <v>499</v>
      </c>
      <c r="D65" s="142">
        <v>8</v>
      </c>
      <c r="E65" s="144">
        <v>454901.13</v>
      </c>
      <c r="F65" s="143">
        <f t="shared" si="0"/>
        <v>3639209.04</v>
      </c>
    </row>
    <row r="66" spans="1:6" s="155" customFormat="1" ht="15.75">
      <c r="A66" s="139">
        <v>42275</v>
      </c>
      <c r="B66" s="140">
        <v>852020046</v>
      </c>
      <c r="C66" s="141" t="s">
        <v>500</v>
      </c>
      <c r="D66" s="142">
        <v>2</v>
      </c>
      <c r="E66" s="144">
        <v>241009.87</v>
      </c>
      <c r="F66" s="143">
        <f t="shared" si="0"/>
        <v>482019.74</v>
      </c>
    </row>
    <row r="67" spans="1:6" s="155" customFormat="1" ht="15.75">
      <c r="A67" s="139">
        <v>42304</v>
      </c>
      <c r="B67" s="140">
        <v>852020046</v>
      </c>
      <c r="C67" s="141" t="s">
        <v>500</v>
      </c>
      <c r="D67" s="142">
        <v>1</v>
      </c>
      <c r="E67" s="144">
        <v>241010</v>
      </c>
      <c r="F67" s="143">
        <f t="shared" si="0"/>
        <v>241010</v>
      </c>
    </row>
    <row r="68" spans="1:6" s="155" customFormat="1" ht="15.75">
      <c r="A68" s="139">
        <v>42304</v>
      </c>
      <c r="B68" s="140">
        <v>852020046</v>
      </c>
      <c r="C68" s="141" t="s">
        <v>500</v>
      </c>
      <c r="D68" s="142">
        <v>5</v>
      </c>
      <c r="E68" s="144">
        <v>235369.46000000002</v>
      </c>
      <c r="F68" s="143">
        <f t="shared" si="0"/>
        <v>1176847.3</v>
      </c>
    </row>
    <row r="69" spans="1:6" s="155" customFormat="1" ht="15.75">
      <c r="A69" s="139">
        <v>42275</v>
      </c>
      <c r="B69" s="140">
        <v>852020086</v>
      </c>
      <c r="C69" s="141" t="s">
        <v>501</v>
      </c>
      <c r="D69" s="142">
        <v>8</v>
      </c>
      <c r="E69" s="144">
        <v>107174</v>
      </c>
      <c r="F69" s="143">
        <f t="shared" si="0"/>
        <v>857392</v>
      </c>
    </row>
    <row r="70" spans="1:6" s="155" customFormat="1" ht="15.75">
      <c r="A70" s="139">
        <v>42304</v>
      </c>
      <c r="B70" s="140">
        <v>852020093</v>
      </c>
      <c r="C70" s="141" t="s">
        <v>502</v>
      </c>
      <c r="D70" s="142">
        <v>8</v>
      </c>
      <c r="E70" s="144">
        <v>460106.19</v>
      </c>
      <c r="F70" s="143">
        <f t="shared" ref="F70:F74" si="1">E70*D70</f>
        <v>3680849.52</v>
      </c>
    </row>
    <row r="71" spans="1:6" s="155" customFormat="1" ht="15.75">
      <c r="A71" s="139">
        <v>42413</v>
      </c>
      <c r="B71" s="140">
        <v>852030084</v>
      </c>
      <c r="C71" s="141" t="s">
        <v>397</v>
      </c>
      <c r="D71" s="142">
        <v>2</v>
      </c>
      <c r="E71" s="144">
        <v>160649.875</v>
      </c>
      <c r="F71" s="143">
        <f t="shared" si="1"/>
        <v>321299.75</v>
      </c>
    </row>
    <row r="72" spans="1:6" s="155" customFormat="1" ht="15.75">
      <c r="A72" s="139">
        <v>42264</v>
      </c>
      <c r="B72" s="140">
        <v>852030154</v>
      </c>
      <c r="C72" s="141" t="s">
        <v>435</v>
      </c>
      <c r="D72" s="142">
        <v>3</v>
      </c>
      <c r="E72" s="144">
        <v>285727.5</v>
      </c>
      <c r="F72" s="143">
        <f t="shared" si="1"/>
        <v>857182.5</v>
      </c>
    </row>
    <row r="73" spans="1:6" s="155" customFormat="1" ht="15.75">
      <c r="A73" s="139">
        <v>42264</v>
      </c>
      <c r="B73" s="140">
        <v>852510047</v>
      </c>
      <c r="C73" s="141" t="s">
        <v>503</v>
      </c>
      <c r="D73" s="142">
        <v>3</v>
      </c>
      <c r="E73" s="144">
        <v>120611.48</v>
      </c>
      <c r="F73" s="143">
        <f t="shared" si="1"/>
        <v>361834.44</v>
      </c>
    </row>
    <row r="74" spans="1:6" s="155" customFormat="1" ht="15.75">
      <c r="A74" s="139">
        <v>42185</v>
      </c>
      <c r="B74" s="140">
        <v>852520032</v>
      </c>
      <c r="C74" s="141" t="s">
        <v>399</v>
      </c>
      <c r="D74" s="142">
        <v>1</v>
      </c>
      <c r="E74" s="144">
        <v>190408.5</v>
      </c>
      <c r="F74" s="143">
        <f t="shared" si="1"/>
        <v>190408.5</v>
      </c>
    </row>
    <row r="75" spans="1:6" s="155" customFormat="1" ht="15.75">
      <c r="D75" s="607" t="s">
        <v>438</v>
      </c>
      <c r="E75" s="607"/>
      <c r="F75" s="156">
        <f>SUM(F5:F74)</f>
        <v>66862572.779999994</v>
      </c>
    </row>
  </sheetData>
  <mergeCells count="4">
    <mergeCell ref="A1:F1"/>
    <mergeCell ref="A2:F2"/>
    <mergeCell ref="A3:F3"/>
    <mergeCell ref="D75:E7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G51"/>
  <sheetViews>
    <sheetView topLeftCell="B40" workbookViewId="0">
      <selection activeCell="B1" sqref="A1:G51"/>
    </sheetView>
  </sheetViews>
  <sheetFormatPr defaultColWidth="8.83203125" defaultRowHeight="15.75"/>
  <cols>
    <col min="1" max="1" width="14" style="146" hidden="1" customWidth="1"/>
    <col min="2" max="2" width="16.33203125" style="146" customWidth="1"/>
    <col min="3" max="3" width="49.6640625" style="146" customWidth="1"/>
    <col min="4" max="4" width="10.83203125" style="146" hidden="1" customWidth="1"/>
    <col min="5" max="5" width="0" style="146" hidden="1" customWidth="1"/>
    <col min="6" max="6" width="18.83203125" style="146" customWidth="1"/>
    <col min="7" max="16384" width="8.83203125" style="146"/>
  </cols>
  <sheetData>
    <row r="1" spans="1:7">
      <c r="B1" s="605" t="s">
        <v>301</v>
      </c>
      <c r="C1" s="605"/>
      <c r="D1" s="605"/>
      <c r="E1" s="605"/>
      <c r="F1" s="605"/>
      <c r="G1" s="605"/>
    </row>
    <row r="2" spans="1:7">
      <c r="B2" s="611" t="s">
        <v>478</v>
      </c>
      <c r="C2" s="611"/>
      <c r="D2" s="611"/>
      <c r="E2" s="611"/>
      <c r="F2" s="611"/>
      <c r="G2" s="611"/>
    </row>
    <row r="3" spans="1:7">
      <c r="A3" s="612" t="s">
        <v>504</v>
      </c>
      <c r="B3" s="612"/>
      <c r="C3" s="612"/>
      <c r="D3" s="612"/>
      <c r="E3" s="612"/>
      <c r="F3" s="612"/>
    </row>
    <row r="4" spans="1:7" ht="31.5">
      <c r="A4" s="136" t="s">
        <v>360</v>
      </c>
      <c r="B4" s="137" t="s">
        <v>361</v>
      </c>
      <c r="C4" s="137" t="s">
        <v>362</v>
      </c>
      <c r="D4" s="137" t="s">
        <v>363</v>
      </c>
      <c r="E4" s="137" t="s">
        <v>364</v>
      </c>
      <c r="F4" s="152" t="s">
        <v>365</v>
      </c>
    </row>
    <row r="5" spans="1:7" s="135" customFormat="1" ht="31.5">
      <c r="A5" s="139">
        <v>42492</v>
      </c>
      <c r="B5" s="140">
        <v>160010014</v>
      </c>
      <c r="C5" s="141" t="s">
        <v>505</v>
      </c>
      <c r="D5" s="157">
        <v>15.98</v>
      </c>
      <c r="E5" s="157">
        <v>1168.1301627033793</v>
      </c>
      <c r="F5" s="157">
        <v>18666.72</v>
      </c>
    </row>
    <row r="6" spans="1:7" s="135" customFormat="1">
      <c r="A6" s="139">
        <v>42793</v>
      </c>
      <c r="B6" s="140">
        <v>310150089</v>
      </c>
      <c r="C6" s="141" t="s">
        <v>506</v>
      </c>
      <c r="D6" s="157">
        <v>1</v>
      </c>
      <c r="E6" s="157">
        <v>371490</v>
      </c>
      <c r="F6" s="157">
        <v>371490</v>
      </c>
    </row>
    <row r="7" spans="1:7" s="135" customFormat="1">
      <c r="A7" s="139">
        <v>42720</v>
      </c>
      <c r="B7" s="140">
        <v>814010002</v>
      </c>
      <c r="C7" s="141" t="s">
        <v>507</v>
      </c>
      <c r="D7" s="157">
        <v>1</v>
      </c>
      <c r="E7" s="157">
        <v>103396</v>
      </c>
      <c r="F7" s="157">
        <v>103396</v>
      </c>
    </row>
    <row r="8" spans="1:7" s="135" customFormat="1" ht="47.25">
      <c r="A8" s="139">
        <v>42763</v>
      </c>
      <c r="B8" s="140">
        <v>814030030</v>
      </c>
      <c r="C8" s="141" t="s">
        <v>480</v>
      </c>
      <c r="D8" s="157">
        <v>3</v>
      </c>
      <c r="E8" s="157">
        <v>504271.66666666669</v>
      </c>
      <c r="F8" s="157">
        <v>1512815</v>
      </c>
    </row>
    <row r="9" spans="1:7" s="135" customFormat="1" ht="16.5" customHeight="1">
      <c r="A9" s="139">
        <v>42677</v>
      </c>
      <c r="B9" s="140">
        <v>814030054</v>
      </c>
      <c r="C9" s="141" t="s">
        <v>444</v>
      </c>
      <c r="D9" s="157">
        <v>1</v>
      </c>
      <c r="E9" s="157">
        <v>340018</v>
      </c>
      <c r="F9" s="157">
        <v>340018</v>
      </c>
    </row>
    <row r="10" spans="1:7" s="135" customFormat="1">
      <c r="A10" s="139">
        <v>42586</v>
      </c>
      <c r="B10" s="140">
        <v>814510298</v>
      </c>
      <c r="C10" s="141" t="s">
        <v>508</v>
      </c>
      <c r="D10" s="157">
        <v>1</v>
      </c>
      <c r="E10" s="157">
        <v>907334</v>
      </c>
      <c r="F10" s="157">
        <v>907334</v>
      </c>
    </row>
    <row r="11" spans="1:7" s="135" customFormat="1" ht="31.5">
      <c r="A11" s="139">
        <v>42571</v>
      </c>
      <c r="B11" s="140">
        <v>814730029</v>
      </c>
      <c r="C11" s="141" t="s">
        <v>509</v>
      </c>
      <c r="D11" s="157">
        <v>1</v>
      </c>
      <c r="E11" s="157">
        <v>160856</v>
      </c>
      <c r="F11" s="157">
        <v>160856</v>
      </c>
    </row>
    <row r="12" spans="1:7" s="135" customFormat="1" ht="47.25">
      <c r="A12" s="139">
        <v>42637</v>
      </c>
      <c r="B12" s="140">
        <v>811100011</v>
      </c>
      <c r="C12" s="141" t="s">
        <v>413</v>
      </c>
      <c r="D12" s="157">
        <v>1</v>
      </c>
      <c r="E12" s="157">
        <v>293438.32</v>
      </c>
      <c r="F12" s="157">
        <v>293438.32</v>
      </c>
    </row>
    <row r="13" spans="1:7" s="135" customFormat="1" ht="47.25">
      <c r="A13" s="139">
        <v>42647</v>
      </c>
      <c r="B13" s="140">
        <v>811100011</v>
      </c>
      <c r="C13" s="141" t="s">
        <v>413</v>
      </c>
      <c r="D13" s="157">
        <v>1</v>
      </c>
      <c r="E13" s="157">
        <v>293438.32</v>
      </c>
      <c r="F13" s="157">
        <v>293438.32</v>
      </c>
    </row>
    <row r="14" spans="1:7" s="135" customFormat="1" ht="47.25">
      <c r="A14" s="139">
        <v>42689</v>
      </c>
      <c r="B14" s="140">
        <v>811100011</v>
      </c>
      <c r="C14" s="141" t="s">
        <v>413</v>
      </c>
      <c r="D14" s="157">
        <v>1</v>
      </c>
      <c r="E14" s="157">
        <v>293438.32</v>
      </c>
      <c r="F14" s="157">
        <v>293438.32</v>
      </c>
    </row>
    <row r="15" spans="1:7" s="135" customFormat="1" ht="47.25">
      <c r="A15" s="139">
        <v>42711</v>
      </c>
      <c r="B15" s="140">
        <v>811100011</v>
      </c>
      <c r="C15" s="141" t="s">
        <v>413</v>
      </c>
      <c r="D15" s="157">
        <v>1</v>
      </c>
      <c r="E15" s="157">
        <v>293438.32</v>
      </c>
      <c r="F15" s="157">
        <v>293438.32</v>
      </c>
    </row>
    <row r="16" spans="1:7" s="135" customFormat="1" ht="47.25">
      <c r="A16" s="139">
        <v>42807</v>
      </c>
      <c r="B16" s="140">
        <v>811100012</v>
      </c>
      <c r="C16" s="141" t="s">
        <v>373</v>
      </c>
      <c r="D16" s="157">
        <v>3</v>
      </c>
      <c r="E16" s="157">
        <v>334433.17333333334</v>
      </c>
      <c r="F16" s="157">
        <v>1003299.52</v>
      </c>
    </row>
    <row r="17" spans="1:6" s="135" customFormat="1">
      <c r="A17" s="139">
        <v>42809</v>
      </c>
      <c r="B17" s="140">
        <v>811100017</v>
      </c>
      <c r="C17" s="141" t="s">
        <v>483</v>
      </c>
      <c r="D17" s="157">
        <v>2</v>
      </c>
      <c r="E17" s="157">
        <v>611207.84</v>
      </c>
      <c r="F17" s="157">
        <v>1222415.68</v>
      </c>
    </row>
    <row r="18" spans="1:6" s="135" customFormat="1" ht="31.5">
      <c r="A18" s="139">
        <v>42598</v>
      </c>
      <c r="B18" s="140">
        <v>818040014</v>
      </c>
      <c r="C18" s="141" t="s">
        <v>375</v>
      </c>
      <c r="D18" s="157">
        <v>1</v>
      </c>
      <c r="E18" s="157">
        <v>572354.64</v>
      </c>
      <c r="F18" s="157">
        <v>572354.64</v>
      </c>
    </row>
    <row r="19" spans="1:6" s="135" customFormat="1" ht="31.5">
      <c r="A19" s="139">
        <v>42711</v>
      </c>
      <c r="B19" s="140">
        <v>818040014</v>
      </c>
      <c r="C19" s="141" t="s">
        <v>375</v>
      </c>
      <c r="D19" s="157">
        <v>1</v>
      </c>
      <c r="E19" s="157">
        <v>572354.64</v>
      </c>
      <c r="F19" s="157">
        <v>572354.64</v>
      </c>
    </row>
    <row r="20" spans="1:6" s="135" customFormat="1" ht="31.5">
      <c r="A20" s="139">
        <v>42807</v>
      </c>
      <c r="B20" s="140">
        <v>818040014</v>
      </c>
      <c r="C20" s="141" t="s">
        <v>375</v>
      </c>
      <c r="D20" s="157">
        <v>2</v>
      </c>
      <c r="E20" s="157">
        <v>576361.16500000004</v>
      </c>
      <c r="F20" s="157">
        <v>1152722.33</v>
      </c>
    </row>
    <row r="21" spans="1:6" s="135" customFormat="1" ht="31.5">
      <c r="A21" s="139">
        <v>42580</v>
      </c>
      <c r="B21" s="140">
        <v>818040015</v>
      </c>
      <c r="C21" s="141" t="s">
        <v>375</v>
      </c>
      <c r="D21" s="157">
        <v>1</v>
      </c>
      <c r="E21" s="157">
        <v>532460.66</v>
      </c>
      <c r="F21" s="157">
        <v>532460.66</v>
      </c>
    </row>
    <row r="22" spans="1:6" s="135" customFormat="1" ht="31.5">
      <c r="A22" s="139">
        <v>42807</v>
      </c>
      <c r="B22" s="140">
        <v>818040015</v>
      </c>
      <c r="C22" s="141" t="s">
        <v>375</v>
      </c>
      <c r="D22" s="157">
        <v>2</v>
      </c>
      <c r="E22" s="157">
        <v>532460.66</v>
      </c>
      <c r="F22" s="157">
        <v>1064921.32</v>
      </c>
    </row>
    <row r="23" spans="1:6" s="135" customFormat="1">
      <c r="A23" s="139">
        <v>42711</v>
      </c>
      <c r="B23" s="140">
        <v>810010009</v>
      </c>
      <c r="C23" s="141" t="s">
        <v>369</v>
      </c>
      <c r="D23" s="157">
        <v>1</v>
      </c>
      <c r="E23" s="157">
        <v>303960</v>
      </c>
      <c r="F23" s="157">
        <v>303960</v>
      </c>
    </row>
    <row r="24" spans="1:6" s="135" customFormat="1">
      <c r="A24" s="139">
        <v>42747</v>
      </c>
      <c r="B24" s="140">
        <v>810010009</v>
      </c>
      <c r="C24" s="141" t="s">
        <v>369</v>
      </c>
      <c r="D24" s="157">
        <v>1</v>
      </c>
      <c r="E24" s="157">
        <v>303960</v>
      </c>
      <c r="F24" s="157">
        <v>303960</v>
      </c>
    </row>
    <row r="25" spans="1:6" s="135" customFormat="1">
      <c r="A25" s="139">
        <v>42782</v>
      </c>
      <c r="B25" s="140">
        <v>810010009</v>
      </c>
      <c r="C25" s="141" t="s">
        <v>369</v>
      </c>
      <c r="D25" s="157">
        <v>1</v>
      </c>
      <c r="E25" s="157">
        <v>303960</v>
      </c>
      <c r="F25" s="157">
        <v>303960</v>
      </c>
    </row>
    <row r="26" spans="1:6" s="135" customFormat="1">
      <c r="A26" s="139">
        <v>42804</v>
      </c>
      <c r="B26" s="140">
        <v>810010009</v>
      </c>
      <c r="C26" s="141" t="s">
        <v>369</v>
      </c>
      <c r="D26" s="157">
        <v>1</v>
      </c>
      <c r="E26" s="157">
        <v>303960</v>
      </c>
      <c r="F26" s="157">
        <v>303960</v>
      </c>
    </row>
    <row r="27" spans="1:6" s="135" customFormat="1">
      <c r="A27" s="139">
        <v>42485</v>
      </c>
      <c r="B27" s="140">
        <v>810070035</v>
      </c>
      <c r="C27" s="141" t="s">
        <v>370</v>
      </c>
      <c r="D27" s="157">
        <v>1</v>
      </c>
      <c r="E27" s="157">
        <v>256725</v>
      </c>
      <c r="F27" s="157">
        <v>256725</v>
      </c>
    </row>
    <row r="28" spans="1:6" s="135" customFormat="1">
      <c r="A28" s="139">
        <v>42528</v>
      </c>
      <c r="B28" s="140">
        <v>810070035</v>
      </c>
      <c r="C28" s="141" t="s">
        <v>370</v>
      </c>
      <c r="D28" s="157">
        <v>1</v>
      </c>
      <c r="E28" s="157">
        <v>263517.25</v>
      </c>
      <c r="F28" s="157">
        <v>263517.25</v>
      </c>
    </row>
    <row r="29" spans="1:6" s="135" customFormat="1">
      <c r="A29" s="139">
        <v>42626</v>
      </c>
      <c r="B29" s="140">
        <v>810070035</v>
      </c>
      <c r="C29" s="141" t="s">
        <v>370</v>
      </c>
      <c r="D29" s="157">
        <v>1</v>
      </c>
      <c r="E29" s="157">
        <v>263517.25</v>
      </c>
      <c r="F29" s="157">
        <v>263517.25</v>
      </c>
    </row>
    <row r="30" spans="1:6" s="135" customFormat="1">
      <c r="A30" s="139">
        <v>42647</v>
      </c>
      <c r="B30" s="140">
        <v>810070035</v>
      </c>
      <c r="C30" s="141" t="s">
        <v>370</v>
      </c>
      <c r="D30" s="157">
        <v>1</v>
      </c>
      <c r="E30" s="157">
        <v>263517.25</v>
      </c>
      <c r="F30" s="157">
        <v>263517.25</v>
      </c>
    </row>
    <row r="31" spans="1:6" s="135" customFormat="1" ht="31.5">
      <c r="A31" s="139">
        <v>42725</v>
      </c>
      <c r="B31" s="140">
        <v>812020150</v>
      </c>
      <c r="C31" s="141" t="s">
        <v>510</v>
      </c>
      <c r="D31" s="157">
        <v>1</v>
      </c>
      <c r="E31" s="157">
        <v>277750</v>
      </c>
      <c r="F31" s="157">
        <v>277750</v>
      </c>
    </row>
    <row r="32" spans="1:6" s="135" customFormat="1" ht="47.25">
      <c r="A32" s="139">
        <v>42481</v>
      </c>
      <c r="B32" s="140">
        <v>813650001</v>
      </c>
      <c r="C32" s="141" t="s">
        <v>384</v>
      </c>
      <c r="D32" s="157">
        <v>1</v>
      </c>
      <c r="E32" s="157">
        <v>1214344.3</v>
      </c>
      <c r="F32" s="157">
        <v>1214344.3</v>
      </c>
    </row>
    <row r="33" spans="1:6" s="135" customFormat="1" ht="47.25">
      <c r="A33" s="139">
        <v>42481</v>
      </c>
      <c r="B33" s="140">
        <v>813650002</v>
      </c>
      <c r="C33" s="141" t="s">
        <v>384</v>
      </c>
      <c r="D33" s="157">
        <v>2</v>
      </c>
      <c r="E33" s="157">
        <v>166099.5</v>
      </c>
      <c r="F33" s="157">
        <v>332199</v>
      </c>
    </row>
    <row r="34" spans="1:6" s="135" customFormat="1" ht="47.25">
      <c r="A34" s="139">
        <v>42481</v>
      </c>
      <c r="B34" s="140">
        <v>813650003</v>
      </c>
      <c r="C34" s="141" t="s">
        <v>420</v>
      </c>
      <c r="D34" s="157">
        <v>1</v>
      </c>
      <c r="E34" s="157">
        <v>1129247.7</v>
      </c>
      <c r="F34" s="157">
        <v>1129247.7</v>
      </c>
    </row>
    <row r="35" spans="1:6" s="135" customFormat="1" ht="31.5">
      <c r="A35" s="139">
        <v>42665</v>
      </c>
      <c r="B35" s="140">
        <v>818140008</v>
      </c>
      <c r="C35" s="141" t="s">
        <v>376</v>
      </c>
      <c r="D35" s="157">
        <v>4</v>
      </c>
      <c r="E35" s="157">
        <v>188043.19</v>
      </c>
      <c r="F35" s="157">
        <v>752172.76</v>
      </c>
    </row>
    <row r="36" spans="1:6" s="135" customFormat="1">
      <c r="A36" s="139">
        <v>42720</v>
      </c>
      <c r="B36" s="140">
        <v>818200004</v>
      </c>
      <c r="C36" s="141" t="s">
        <v>489</v>
      </c>
      <c r="D36" s="157">
        <v>1</v>
      </c>
      <c r="E36" s="157">
        <v>236145</v>
      </c>
      <c r="F36" s="157">
        <v>236145</v>
      </c>
    </row>
    <row r="37" spans="1:6" s="135" customFormat="1" ht="31.5">
      <c r="A37" s="139">
        <v>42697</v>
      </c>
      <c r="B37" s="140">
        <v>500350073</v>
      </c>
      <c r="C37" s="141" t="s">
        <v>511</v>
      </c>
      <c r="D37" s="157">
        <v>1</v>
      </c>
      <c r="E37" s="157">
        <v>102242.25</v>
      </c>
      <c r="F37" s="157">
        <v>102242.25</v>
      </c>
    </row>
    <row r="38" spans="1:6" s="135" customFormat="1" ht="31.5">
      <c r="A38" s="139">
        <v>42720</v>
      </c>
      <c r="B38" s="140">
        <v>835860044</v>
      </c>
      <c r="C38" s="141" t="s">
        <v>472</v>
      </c>
      <c r="D38" s="157">
        <v>4</v>
      </c>
      <c r="E38" s="157">
        <v>291183</v>
      </c>
      <c r="F38" s="157">
        <v>1164732</v>
      </c>
    </row>
    <row r="39" spans="1:6" s="135" customFormat="1" ht="31.5">
      <c r="A39" s="139">
        <v>42728</v>
      </c>
      <c r="B39" s="140">
        <v>850030002</v>
      </c>
      <c r="C39" s="141" t="s">
        <v>431</v>
      </c>
      <c r="D39" s="157">
        <v>2</v>
      </c>
      <c r="E39" s="157">
        <v>237847.05</v>
      </c>
      <c r="F39" s="157">
        <v>475694.1</v>
      </c>
    </row>
    <row r="40" spans="1:6" s="135" customFormat="1" ht="31.5">
      <c r="A40" s="139">
        <v>42728</v>
      </c>
      <c r="B40" s="140">
        <v>850030034</v>
      </c>
      <c r="C40" s="141" t="s">
        <v>432</v>
      </c>
      <c r="D40" s="157">
        <v>3</v>
      </c>
      <c r="E40" s="157">
        <v>163011.44999999998</v>
      </c>
      <c r="F40" s="157">
        <v>489034.35</v>
      </c>
    </row>
    <row r="41" spans="1:6" s="135" customFormat="1" ht="31.5">
      <c r="A41" s="139">
        <v>42530</v>
      </c>
      <c r="B41" s="140">
        <v>851010034</v>
      </c>
      <c r="C41" s="141" t="s">
        <v>512</v>
      </c>
      <c r="D41" s="157">
        <v>3</v>
      </c>
      <c r="E41" s="157">
        <v>103275</v>
      </c>
      <c r="F41" s="157">
        <v>309825</v>
      </c>
    </row>
    <row r="42" spans="1:6" s="135" customFormat="1">
      <c r="A42" s="139">
        <v>42634</v>
      </c>
      <c r="B42" s="140">
        <v>851050015</v>
      </c>
      <c r="C42" s="141" t="s">
        <v>494</v>
      </c>
      <c r="D42" s="157">
        <v>1</v>
      </c>
      <c r="E42" s="157">
        <v>111497.26</v>
      </c>
      <c r="F42" s="157">
        <v>111497.26</v>
      </c>
    </row>
    <row r="43" spans="1:6" s="135" customFormat="1">
      <c r="A43" s="139">
        <v>42522</v>
      </c>
      <c r="B43" s="140">
        <v>851050043</v>
      </c>
      <c r="C43" s="141" t="s">
        <v>513</v>
      </c>
      <c r="D43" s="157">
        <v>2</v>
      </c>
      <c r="E43" s="157">
        <v>343586.5</v>
      </c>
      <c r="F43" s="157">
        <v>687173</v>
      </c>
    </row>
    <row r="44" spans="1:6" s="135" customFormat="1" ht="31.5">
      <c r="A44" s="139">
        <v>42502</v>
      </c>
      <c r="B44" s="140">
        <v>852020086</v>
      </c>
      <c r="C44" s="141" t="s">
        <v>501</v>
      </c>
      <c r="D44" s="157">
        <v>12</v>
      </c>
      <c r="E44" s="157">
        <v>104052.41666666667</v>
      </c>
      <c r="F44" s="157">
        <v>1248629</v>
      </c>
    </row>
    <row r="45" spans="1:6" s="135" customFormat="1">
      <c r="A45" s="139">
        <v>42608</v>
      </c>
      <c r="B45" s="140">
        <v>852020111</v>
      </c>
      <c r="C45" s="141" t="s">
        <v>514</v>
      </c>
      <c r="D45" s="157">
        <v>1</v>
      </c>
      <c r="E45" s="157">
        <v>12622500</v>
      </c>
      <c r="F45" s="157">
        <v>12622500</v>
      </c>
    </row>
    <row r="46" spans="1:6" s="135" customFormat="1">
      <c r="A46" s="139">
        <v>42696</v>
      </c>
      <c r="B46" s="140">
        <v>852030195</v>
      </c>
      <c r="C46" s="141" t="s">
        <v>515</v>
      </c>
      <c r="D46" s="157">
        <v>3</v>
      </c>
      <c r="E46" s="157">
        <v>298436.06</v>
      </c>
      <c r="F46" s="157">
        <v>895308.18</v>
      </c>
    </row>
    <row r="47" spans="1:6" s="135" customFormat="1" ht="31.5">
      <c r="A47" s="139">
        <v>42802</v>
      </c>
      <c r="B47" s="140">
        <v>852030206</v>
      </c>
      <c r="C47" s="141" t="s">
        <v>516</v>
      </c>
      <c r="D47" s="157">
        <v>4</v>
      </c>
      <c r="E47" s="157">
        <v>292383</v>
      </c>
      <c r="F47" s="157">
        <v>1169532</v>
      </c>
    </row>
    <row r="48" spans="1:6" s="135" customFormat="1">
      <c r="A48" s="139">
        <v>42520</v>
      </c>
      <c r="B48" s="140">
        <v>852510079</v>
      </c>
      <c r="C48" s="141" t="s">
        <v>517</v>
      </c>
      <c r="D48" s="157">
        <v>4</v>
      </c>
      <c r="E48" s="157">
        <v>222075</v>
      </c>
      <c r="F48" s="157">
        <v>888300</v>
      </c>
    </row>
    <row r="49" spans="1:6" s="135" customFormat="1">
      <c r="A49" s="139">
        <v>42728</v>
      </c>
      <c r="B49" s="140">
        <v>852510079</v>
      </c>
      <c r="C49" s="141" t="s">
        <v>517</v>
      </c>
      <c r="D49" s="157">
        <v>5</v>
      </c>
      <c r="E49" s="157">
        <v>228900</v>
      </c>
      <c r="F49" s="157">
        <v>1144500</v>
      </c>
    </row>
    <row r="50" spans="1:6" s="135" customFormat="1">
      <c r="A50" s="139">
        <v>42671</v>
      </c>
      <c r="B50" s="140">
        <v>854500024</v>
      </c>
      <c r="C50" s="141" t="s">
        <v>518</v>
      </c>
      <c r="D50" s="157">
        <v>3</v>
      </c>
      <c r="E50" s="157">
        <v>263750</v>
      </c>
      <c r="F50" s="157">
        <v>791250</v>
      </c>
    </row>
    <row r="51" spans="1:6" s="135" customFormat="1">
      <c r="C51" s="135" t="s">
        <v>686</v>
      </c>
      <c r="D51" s="613" t="s">
        <v>438</v>
      </c>
      <c r="E51" s="613"/>
      <c r="F51" s="158">
        <v>38995383.720000006</v>
      </c>
    </row>
  </sheetData>
  <mergeCells count="4">
    <mergeCell ref="B1:G1"/>
    <mergeCell ref="B2:G2"/>
    <mergeCell ref="A3:F3"/>
    <mergeCell ref="D51:E5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69"/>
  <sheetViews>
    <sheetView topLeftCell="A45" workbookViewId="0">
      <selection sqref="A1:H53"/>
    </sheetView>
  </sheetViews>
  <sheetFormatPr defaultRowHeight="15"/>
  <cols>
    <col min="1" max="1" width="7.1640625" style="200" customWidth="1"/>
    <col min="2" max="2" width="68" style="200" bestFit="1" customWidth="1"/>
    <col min="3" max="3" width="6.33203125" style="200" customWidth="1"/>
    <col min="4" max="4" width="14.5" style="200" bestFit="1" customWidth="1"/>
    <col min="5" max="5" width="13.5" style="200" bestFit="1" customWidth="1"/>
    <col min="6" max="6" width="20.6640625" style="200" customWidth="1"/>
    <col min="7" max="7" width="19" style="200" customWidth="1"/>
    <col min="8" max="8" width="20.6640625" style="200" customWidth="1"/>
    <col min="9" max="9" width="2.6640625" style="200" customWidth="1"/>
    <col min="10" max="10" width="11.1640625" style="200" bestFit="1" customWidth="1"/>
    <col min="11" max="12" width="9.33203125" style="200"/>
    <col min="13" max="13" width="11.83203125" style="200" bestFit="1" customWidth="1"/>
    <col min="14" max="16384" width="9.33203125" style="200"/>
  </cols>
  <sheetData>
    <row r="1" spans="1:15" ht="15.75" thickBot="1">
      <c r="A1" s="619" t="s">
        <v>615</v>
      </c>
      <c r="B1" s="619"/>
      <c r="C1" s="619"/>
      <c r="D1" s="619"/>
      <c r="E1" s="619"/>
      <c r="F1" s="619"/>
      <c r="G1" s="619"/>
      <c r="H1" s="619"/>
    </row>
    <row r="2" spans="1:15">
      <c r="A2" s="201"/>
      <c r="B2" s="202"/>
      <c r="C2" s="202"/>
      <c r="D2" s="202"/>
      <c r="E2" s="202"/>
      <c r="F2" s="202"/>
      <c r="G2" s="202"/>
      <c r="H2" s="203"/>
    </row>
    <row r="3" spans="1:15" ht="15" customHeight="1">
      <c r="A3" s="614" t="s">
        <v>616</v>
      </c>
      <c r="B3" s="615"/>
      <c r="C3" s="615"/>
      <c r="D3" s="615"/>
      <c r="E3" s="615"/>
      <c r="F3" s="615"/>
      <c r="G3" s="615"/>
      <c r="H3" s="616"/>
    </row>
    <row r="4" spans="1:15">
      <c r="A4" s="204"/>
      <c r="B4" s="205" t="s">
        <v>301</v>
      </c>
      <c r="C4" s="206"/>
      <c r="D4" s="207"/>
      <c r="E4" s="208"/>
      <c r="F4" s="209"/>
      <c r="G4" s="210"/>
      <c r="H4" s="211"/>
    </row>
    <row r="5" spans="1:15" ht="15" customHeight="1">
      <c r="A5" s="212"/>
      <c r="B5" s="213"/>
      <c r="C5" s="214"/>
      <c r="D5" s="215"/>
      <c r="E5" s="215"/>
      <c r="F5" s="215"/>
      <c r="G5" s="215"/>
      <c r="H5" s="216" t="s">
        <v>617</v>
      </c>
    </row>
    <row r="6" spans="1:15" ht="30">
      <c r="A6" s="204" t="s">
        <v>618</v>
      </c>
      <c r="B6" s="217" t="s">
        <v>619</v>
      </c>
      <c r="C6" s="218" t="s">
        <v>195</v>
      </c>
      <c r="D6" s="219" t="s">
        <v>68</v>
      </c>
      <c r="E6" s="220" t="s">
        <v>69</v>
      </c>
      <c r="F6" s="219" t="s">
        <v>70</v>
      </c>
      <c r="G6" s="220" t="s">
        <v>71</v>
      </c>
      <c r="H6" s="221" t="s">
        <v>72</v>
      </c>
    </row>
    <row r="7" spans="1:15">
      <c r="A7" s="222">
        <v>1</v>
      </c>
      <c r="B7" s="223">
        <v>2</v>
      </c>
      <c r="C7" s="224"/>
      <c r="D7" s="225">
        <v>3</v>
      </c>
      <c r="E7" s="226">
        <v>4</v>
      </c>
      <c r="F7" s="225">
        <v>5</v>
      </c>
      <c r="G7" s="226">
        <v>6</v>
      </c>
      <c r="H7" s="227">
        <v>7</v>
      </c>
    </row>
    <row r="8" spans="1:15" ht="15" customHeight="1">
      <c r="A8" s="228" t="s">
        <v>620</v>
      </c>
      <c r="B8" s="229" t="s">
        <v>621</v>
      </c>
      <c r="C8" s="230"/>
      <c r="D8" s="230"/>
      <c r="E8" s="230"/>
      <c r="F8" s="230"/>
      <c r="G8" s="230"/>
      <c r="H8" s="231"/>
    </row>
    <row r="9" spans="1:15">
      <c r="A9" s="222">
        <v>1</v>
      </c>
      <c r="B9" s="232" t="s">
        <v>622</v>
      </c>
      <c r="C9" s="224"/>
      <c r="D9" s="224"/>
      <c r="E9" s="233"/>
      <c r="F9" s="224"/>
      <c r="G9" s="234"/>
      <c r="H9" s="235"/>
    </row>
    <row r="10" spans="1:15">
      <c r="A10" s="236">
        <v>1.1000000000000001</v>
      </c>
      <c r="B10" s="232" t="s">
        <v>555</v>
      </c>
      <c r="C10" s="237"/>
      <c r="D10" s="237" t="e">
        <f>+GETPIVOTDATA("Net in Rs",'[2]pivot_12-13'!$A$3,"Code Name","Emp. Remuneration")-339.56</f>
        <v>#REF!</v>
      </c>
      <c r="E10" s="238" t="e">
        <f>+GETPIVOTDATA("Net in Rs",'[2]pivot_13-14'!$A$3,"Code Name","Emp. Remuneration")</f>
        <v>#REF!</v>
      </c>
      <c r="F10" s="237" t="e">
        <f>+GETPIVOTDATA("Net in Rs",'[2]pivot_14-15'!$A$3,"Code Name","Emp. Remuneration")</f>
        <v>#REF!</v>
      </c>
      <c r="G10" s="239" t="e">
        <f>+GETPIVOTDATA("Net in Rs",'[2]pivot_15-16'!$A$3,"Code Name","Emp. Remuneration")</f>
        <v>#REF!</v>
      </c>
      <c r="H10" s="240" t="e">
        <f>+GETPIVOTDATA("Net in Rs",'[2]Pivot_16-17'!$A$3,"Code Name","Emp. Remuneration")</f>
        <v>#REF!</v>
      </c>
      <c r="K10" s="241"/>
    </row>
    <row r="11" spans="1:15">
      <c r="A11" s="236">
        <v>1.2</v>
      </c>
      <c r="B11" s="232" t="s">
        <v>557</v>
      </c>
      <c r="C11" s="237"/>
      <c r="D11" s="237" t="e">
        <f>+GETPIVOTDATA("Net in Rs",'[2]pivot_12-13'!$A$3,"Code Name","Welfare Expenses")+33.82</f>
        <v>#REF!</v>
      </c>
      <c r="E11" s="238" t="e">
        <f>+GETPIVOTDATA("Net in Rs",'[2]pivot_13-14'!$A$3,"Code Name","Welfare Expenses")</f>
        <v>#REF!</v>
      </c>
      <c r="F11" s="237" t="e">
        <f>+GETPIVOTDATA("Net in Rs",'[2]pivot_14-15'!$A$3,"Code Name","Welfare Expenses")</f>
        <v>#REF!</v>
      </c>
      <c r="G11" s="239" t="e">
        <f>+GETPIVOTDATA("Net in Rs",'[2]pivot_15-16'!$A$3,"Code Name","Welfare Expenses")</f>
        <v>#REF!</v>
      </c>
      <c r="H11" s="240" t="e">
        <f>+GETPIVOTDATA("Net in Rs",'[2]Pivot_16-17'!$A$3,"Code Name","Welfare Expenses")</f>
        <v>#REF!</v>
      </c>
      <c r="K11" s="242"/>
      <c r="M11" s="242"/>
    </row>
    <row r="12" spans="1:15">
      <c r="A12" s="236">
        <v>1.3</v>
      </c>
      <c r="B12" s="232" t="s">
        <v>559</v>
      </c>
      <c r="C12" s="237"/>
      <c r="D12" s="237" t="e">
        <f>+GETPIVOTDATA("Net in Rs",'[2]pivot_12-13'!$A$3,"Code Name","Bonus &amp; Incentives")</f>
        <v>#REF!</v>
      </c>
      <c r="E12" s="238" t="e">
        <f>+GETPIVOTDATA("Net in Rs",'[2]pivot_13-14'!$A$3,"Code Name","Bonus &amp; Incentives")</f>
        <v>#REF!</v>
      </c>
      <c r="F12" s="237" t="e">
        <f>+GETPIVOTDATA("Net in Rs",'[2]pivot_14-15'!$A$3,"Code Name","Bonus &amp; Incentives")</f>
        <v>#REF!</v>
      </c>
      <c r="G12" s="239" t="e">
        <f>+GETPIVOTDATA("Net in Rs",'[2]pivot_15-16'!$A$3,"Code Name","Bonus &amp; Incentives")</f>
        <v>#REF!</v>
      </c>
      <c r="H12" s="240" t="e">
        <f>+GETPIVOTDATA("Net in Rs",'[2]Pivot_16-17'!$A$3,"Code Name","Bonus &amp; Incentives")</f>
        <v>#REF!</v>
      </c>
    </row>
    <row r="13" spans="1:15">
      <c r="A13" s="236">
        <v>1.4</v>
      </c>
      <c r="B13" s="232" t="s">
        <v>561</v>
      </c>
      <c r="C13" s="237"/>
      <c r="D13" s="237" t="e">
        <f>+GETPIVOTDATA("Net in Rs",'[2]pivot_12-13'!$A$3,"Code Name","VRS")</f>
        <v>#REF!</v>
      </c>
      <c r="E13" s="238">
        <v>0</v>
      </c>
      <c r="F13" s="237">
        <v>0</v>
      </c>
      <c r="G13" s="239" t="e">
        <f>+GETPIVOTDATA("Net in Rs",'[2]pivot_15-16'!$A$3,"Code Name","VRS")</f>
        <v>#REF!</v>
      </c>
      <c r="H13" s="240" t="e">
        <f>+GETPIVOTDATA("Net in Rs",'[2]Pivot_16-17'!$A$3,"Code Name","VRS")</f>
        <v>#REF!</v>
      </c>
    </row>
    <row r="14" spans="1:15">
      <c r="A14" s="236">
        <v>1.5</v>
      </c>
      <c r="B14" s="232" t="s">
        <v>562</v>
      </c>
      <c r="C14" s="237"/>
      <c r="D14" s="237">
        <v>0</v>
      </c>
      <c r="E14" s="238">
        <v>0</v>
      </c>
      <c r="F14" s="237">
        <v>0</v>
      </c>
      <c r="G14" s="239">
        <v>0</v>
      </c>
      <c r="H14" s="240">
        <v>0</v>
      </c>
    </row>
    <row r="15" spans="1:15" ht="15.75" thickBot="1">
      <c r="A15" s="243">
        <v>1.6</v>
      </c>
      <c r="B15" s="244" t="s">
        <v>623</v>
      </c>
      <c r="C15" s="245"/>
      <c r="D15" s="245" t="e">
        <f>+GETPIVOTDATA("Net in Rs",'[2]pivot_12-13'!$A$3,"Code Name","PRP")+339.56-2.7</f>
        <v>#REF!</v>
      </c>
      <c r="E15" s="246" t="e">
        <f>+GETPIVOTDATA("Net in Rs",'[2]pivot_13-14'!$A$3,"Code Name","PRP")</f>
        <v>#REF!</v>
      </c>
      <c r="F15" s="245" t="e">
        <f>+GETPIVOTDATA("Net in Rs",'[2]pivot_14-15'!$A$3,"Code Name","PRP")</f>
        <v>#REF!</v>
      </c>
      <c r="G15" s="247" t="e">
        <f>+GETPIVOTDATA("Net in Rs",'[2]pivot_15-16'!$A$3,"Code Name","PRP")</f>
        <v>#REF!</v>
      </c>
      <c r="H15" s="248" t="e">
        <f>+GETPIVOTDATA("Net in Rs",'[2]Pivot_16-17'!$A$3,"Code Name","PRP")</f>
        <v>#REF!</v>
      </c>
    </row>
    <row r="16" spans="1:15" ht="15.75" thickBot="1">
      <c r="A16" s="249"/>
      <c r="B16" s="250" t="s">
        <v>624</v>
      </c>
      <c r="C16" s="251"/>
      <c r="D16" s="251" t="e">
        <f>SUM(D10:D15)</f>
        <v>#REF!</v>
      </c>
      <c r="E16" s="252" t="e">
        <f>SUM(E10:E15)</f>
        <v>#REF!</v>
      </c>
      <c r="F16" s="251" t="e">
        <f>SUM(F10:F15)</f>
        <v>#REF!</v>
      </c>
      <c r="G16" s="251" t="e">
        <f>SUM(G10:G15)</f>
        <v>#REF!</v>
      </c>
      <c r="H16" s="251" t="e">
        <f>SUM(H10:H15)</f>
        <v>#REF!</v>
      </c>
      <c r="J16" s="253"/>
      <c r="K16" s="617"/>
      <c r="L16" s="618"/>
      <c r="M16" s="253"/>
      <c r="N16" s="254"/>
      <c r="O16" s="253"/>
    </row>
    <row r="17" spans="1:12">
      <c r="A17" s="255">
        <v>2</v>
      </c>
      <c r="B17" s="256" t="s">
        <v>625</v>
      </c>
      <c r="C17" s="257"/>
      <c r="D17" s="257"/>
      <c r="E17" s="258"/>
      <c r="F17" s="257"/>
      <c r="G17" s="259"/>
      <c r="H17" s="260"/>
    </row>
    <row r="18" spans="1:12">
      <c r="A18" s="236">
        <v>2.1</v>
      </c>
      <c r="B18" s="261" t="s">
        <v>626</v>
      </c>
      <c r="C18" s="237"/>
      <c r="D18" s="262" t="e">
        <f>+GETPIVOTDATA("Net in Rs",'[2]pivot_12-13'!$A$3,"Code Name","Repair and Maintenance")+216.87+418.52</f>
        <v>#REF!</v>
      </c>
      <c r="E18" s="238" t="e">
        <f>+GETPIVOTDATA("Net in Rs",'[2]pivot_13-14'!$A$3,"Code Name","Repair and Maintenance")</f>
        <v>#REF!</v>
      </c>
      <c r="F18" s="237" t="e">
        <f>+GETPIVOTDATA("Net in Rs",'[2]pivot_14-15'!$A$3,"Code Name","Repair and Maintenance")</f>
        <v>#REF!</v>
      </c>
      <c r="G18" s="239" t="e">
        <f>+GETPIVOTDATA("Net in Rs",'[2]pivot_15-16'!$A$3,"Code Name","Repair and Maintenance")</f>
        <v>#REF!</v>
      </c>
      <c r="H18" s="240" t="e">
        <f>+GETPIVOTDATA("Net in Rs",'[2]Pivot_16-17'!$A$3,"Code Name","Repair and Maintenance")</f>
        <v>#REF!</v>
      </c>
    </row>
    <row r="19" spans="1:12">
      <c r="A19" s="236">
        <v>2.2999999999999998</v>
      </c>
      <c r="B19" s="261" t="s">
        <v>627</v>
      </c>
      <c r="C19" s="237"/>
      <c r="D19" s="263" t="e">
        <f>+GETPIVOTDATA("Net in Rs",'[2]pivot_12-13'!$A$3,"Code Name","Communication")</f>
        <v>#REF!</v>
      </c>
      <c r="E19" s="238" t="e">
        <f>+GETPIVOTDATA("Net in Rs",'[2]pivot_13-14'!$A$3,"Code Name","Communication")</f>
        <v>#REF!</v>
      </c>
      <c r="F19" s="237" t="e">
        <f>+GETPIVOTDATA("Net in Rs",'[2]pivot_14-15'!$A$3,"Code Name","Communication")</f>
        <v>#REF!</v>
      </c>
      <c r="G19" s="239" t="e">
        <f>+GETPIVOTDATA("Net in Rs",'[2]pivot_15-16'!$A$3,"Code Name","Communication")</f>
        <v>#REF!</v>
      </c>
      <c r="H19" s="240" t="e">
        <f>+GETPIVOTDATA("Net in Rs",'[2]Pivot_16-17'!$A$3,"Code Name","Communication")</f>
        <v>#REF!</v>
      </c>
      <c r="J19" s="242"/>
    </row>
    <row r="20" spans="1:12">
      <c r="A20" s="236">
        <v>2.4</v>
      </c>
      <c r="B20" s="261" t="s">
        <v>628</v>
      </c>
      <c r="C20" s="237"/>
      <c r="D20" s="263" t="e">
        <f>+GETPIVOTDATA("Net in Rs",'[2]pivot_12-13'!$A$3,"Code Name","Travelling and Conveyance")-216.87</f>
        <v>#REF!</v>
      </c>
      <c r="E20" s="238" t="e">
        <f>+GETPIVOTDATA("Net in Rs",'[2]pivot_13-14'!$A$3,"Code Name","Travelling and Conveyance")</f>
        <v>#REF!</v>
      </c>
      <c r="F20" s="237" t="e">
        <f>+GETPIVOTDATA("Net in Rs",'[2]pivot_14-15'!$A$3,"Code Name","Travelling and Conveyance")</f>
        <v>#REF!</v>
      </c>
      <c r="G20" s="239" t="e">
        <f>+GETPIVOTDATA("Net in Rs",'[2]pivot_15-16'!$A$3,"Code Name","Travelling and Conveyance")</f>
        <v>#REF!</v>
      </c>
      <c r="H20" s="240" t="e">
        <f>+GETPIVOTDATA("Net in Rs",'[2]Pivot_16-17'!$A$3,"Code Name","Travelling and Conveyance")</f>
        <v>#REF!</v>
      </c>
      <c r="J20" s="242"/>
    </row>
    <row r="21" spans="1:12">
      <c r="A21" s="236">
        <v>2.5</v>
      </c>
      <c r="B21" s="261" t="s">
        <v>540</v>
      </c>
      <c r="C21" s="237"/>
      <c r="D21" s="263" t="e">
        <f>+GETPIVOTDATA("Net in Rs",'[2]pivot_12-13'!$A$3,"Code Name","Rent")</f>
        <v>#REF!</v>
      </c>
      <c r="E21" s="238" t="e">
        <f>+GETPIVOTDATA("Net in Rs",'[2]pivot_13-14'!$A$3,"Code Name","Rent")</f>
        <v>#REF!</v>
      </c>
      <c r="F21" s="237" t="e">
        <f>+GETPIVOTDATA("Net in Rs",'[2]pivot_14-15'!$A$3,"Code Name","Rent")</f>
        <v>#REF!</v>
      </c>
      <c r="G21" s="239" t="e">
        <f>+GETPIVOTDATA("Net in Rs",'[2]pivot_15-16'!$A$3,"Code Name","Rent")</f>
        <v>#REF!</v>
      </c>
      <c r="H21" s="240" t="e">
        <f>+GETPIVOTDATA("Net in Rs",'[2]Pivot_16-17'!$A$3,"Code Name","Rent")</f>
        <v>#REF!</v>
      </c>
      <c r="K21" s="241"/>
    </row>
    <row r="22" spans="1:12" ht="15.75" thickBot="1">
      <c r="A22" s="236">
        <v>2.6</v>
      </c>
      <c r="B22" s="261" t="s">
        <v>573</v>
      </c>
      <c r="C22" s="237"/>
      <c r="D22" s="237">
        <v>0</v>
      </c>
      <c r="E22" s="238">
        <v>0</v>
      </c>
      <c r="F22" s="237">
        <v>0</v>
      </c>
      <c r="G22" s="239">
        <v>0</v>
      </c>
      <c r="H22" s="240">
        <v>0</v>
      </c>
    </row>
    <row r="23" spans="1:12" ht="15.75" thickBot="1">
      <c r="A23" s="212"/>
      <c r="B23" s="264" t="s">
        <v>629</v>
      </c>
      <c r="C23" s="251"/>
      <c r="D23" s="251" t="e">
        <f>SUM(D18:D22)</f>
        <v>#REF!</v>
      </c>
      <c r="E23" s="252" t="e">
        <f>SUM(E18:E22)</f>
        <v>#REF!</v>
      </c>
      <c r="F23" s="251" t="e">
        <f>SUM(F18:F22)</f>
        <v>#REF!</v>
      </c>
      <c r="G23" s="265" t="e">
        <f>SUM(G18:G22)</f>
        <v>#REF!</v>
      </c>
      <c r="H23" s="266" t="e">
        <f>SUM(H18:H22)</f>
        <v>#REF!</v>
      </c>
      <c r="K23" s="241"/>
    </row>
    <row r="24" spans="1:12">
      <c r="A24" s="222">
        <v>3</v>
      </c>
      <c r="B24" s="267" t="s">
        <v>630</v>
      </c>
      <c r="C24" s="257"/>
      <c r="D24" s="257">
        <v>0</v>
      </c>
      <c r="E24" s="258">
        <v>0</v>
      </c>
      <c r="F24" s="257">
        <v>0</v>
      </c>
      <c r="G24" s="259">
        <v>0</v>
      </c>
      <c r="H24" s="260">
        <v>0</v>
      </c>
    </row>
    <row r="25" spans="1:12">
      <c r="A25" s="222">
        <v>4</v>
      </c>
      <c r="B25" s="224" t="s">
        <v>631</v>
      </c>
      <c r="C25" s="237"/>
      <c r="D25" s="237">
        <v>0</v>
      </c>
      <c r="E25" s="238">
        <v>0</v>
      </c>
      <c r="F25" s="237">
        <v>0</v>
      </c>
      <c r="G25" s="239" t="e">
        <f>+GETPIVOTDATA("Net in Rs",'[2]pivot_15-16'!$A$3,"Code Name","DONATIONS")</f>
        <v>#REF!</v>
      </c>
      <c r="H25" s="240" t="e">
        <f>+GETPIVOTDATA("Net in Rs",'[2]Pivot_16-17'!$A$3,"Code Name","DONATIONS")</f>
        <v>#REF!</v>
      </c>
      <c r="L25" s="242"/>
    </row>
    <row r="26" spans="1:12">
      <c r="A26" s="222">
        <v>5</v>
      </c>
      <c r="B26" s="224" t="s">
        <v>568</v>
      </c>
      <c r="C26" s="237"/>
      <c r="D26" s="237">
        <v>0</v>
      </c>
      <c r="E26" s="238">
        <v>0</v>
      </c>
      <c r="F26" s="237">
        <v>0</v>
      </c>
      <c r="G26" s="239">
        <v>0</v>
      </c>
      <c r="H26" s="240">
        <v>0</v>
      </c>
    </row>
    <row r="27" spans="1:12">
      <c r="A27" s="222">
        <v>6</v>
      </c>
      <c r="B27" s="224" t="s">
        <v>632</v>
      </c>
      <c r="C27" s="237"/>
      <c r="D27" s="237">
        <v>0</v>
      </c>
      <c r="E27" s="238">
        <v>0</v>
      </c>
      <c r="F27" s="237">
        <v>0</v>
      </c>
      <c r="G27" s="239">
        <v>0</v>
      </c>
      <c r="H27" s="240">
        <v>0</v>
      </c>
    </row>
    <row r="28" spans="1:12">
      <c r="A28" s="268"/>
      <c r="B28" s="261" t="s">
        <v>633</v>
      </c>
      <c r="C28" s="245"/>
      <c r="D28" s="269" t="e">
        <f>+GETPIVOTDATA("Net in Rs",'[2]pivot_12-13'!$A$3,"Code Name","Advertising")+2.7</f>
        <v>#REF!</v>
      </c>
      <c r="E28" s="270" t="e">
        <f>+GETPIVOTDATA("Net in Rs",'[2]pivot_13-14'!$A$3,"Code Name","Advertising")</f>
        <v>#REF!</v>
      </c>
      <c r="F28" s="245" t="e">
        <f>+GETPIVOTDATA("Net in Rs",'[2]pivot_14-15'!$A$3,"Code Name","Advertising")</f>
        <v>#REF!</v>
      </c>
      <c r="G28" s="247" t="e">
        <f>+GETPIVOTDATA("Net in Rs",'[2]pivot_15-16'!$A$3,"Code Name","Advertising")</f>
        <v>#REF!</v>
      </c>
      <c r="H28" s="248" t="e">
        <f>+GETPIVOTDATA("Net in Rs",'[2]Pivot_16-17'!$A$3,"Code Name","Advertising")</f>
        <v>#REF!</v>
      </c>
    </row>
    <row r="29" spans="1:12">
      <c r="A29" s="268"/>
      <c r="B29" s="261" t="s">
        <v>634</v>
      </c>
      <c r="C29" s="245"/>
      <c r="D29" s="269" t="e">
        <f>+GETPIVOTDATA("Net in Rs",'[2]pivot_12-13'!$A$3,"Code Name","Others(Specify Items) - Insurance")</f>
        <v>#REF!</v>
      </c>
      <c r="E29" s="270" t="e">
        <f>+GETPIVOTDATA("Net in Rs",'[2]pivot_13-14'!$A$3,"Code Name","Others(Specify Items) - Insurance")</f>
        <v>#REF!</v>
      </c>
      <c r="F29" s="245" t="e">
        <f>+GETPIVOTDATA("Net in Rs",'[2]pivot_14-15'!$A$3,"Code Name","Others(Specify Items) - Insurance")</f>
        <v>#REF!</v>
      </c>
      <c r="G29" s="247" t="e">
        <f>+GETPIVOTDATA("Net in Rs",'[2]pivot_15-16'!$A$3,"Code Name","Others(Specify Items) - Insurance")</f>
        <v>#REF!</v>
      </c>
      <c r="H29" s="248" t="e">
        <f>+GETPIVOTDATA("Net in Rs",'[2]Pivot_16-17'!$A$3,"Code Name","Others(Specify Items) - Insurance")</f>
        <v>#REF!</v>
      </c>
    </row>
    <row r="30" spans="1:12">
      <c r="A30" s="268"/>
      <c r="B30" s="261" t="s">
        <v>635</v>
      </c>
      <c r="C30" s="245"/>
      <c r="D30" s="269" t="e">
        <f>+GETPIVOTDATA("Net in Rs",'[2]pivot_12-13'!$A$3,"Code Name","Others(Specify Items) - Stores and Spares")</f>
        <v>#REF!</v>
      </c>
      <c r="E30" s="270" t="e">
        <f>+GETPIVOTDATA("Net in Rs",'[2]pivot_13-14'!$A$3,"Code Name","Others(Specify Items) - Stores and Spares")</f>
        <v>#REF!</v>
      </c>
      <c r="F30" s="245" t="e">
        <f>+GETPIVOTDATA("Net in Rs",'[2]pivot_14-15'!$A$3,"Code Name","Others(Specify Items) - Stores and Spares")</f>
        <v>#REF!</v>
      </c>
      <c r="G30" s="247" t="e">
        <f>+GETPIVOTDATA("Net in Rs",'[2]pivot_15-16'!$A$3,"Code Name","Others(Specify Items) - Stores and Spares")</f>
        <v>#REF!</v>
      </c>
      <c r="H30" s="248" t="e">
        <f>+GETPIVOTDATA("Net in Rs",'[2]Pivot_16-17'!$A$3,"Code Name","Others(Specify Items) - Stores and Spares")</f>
        <v>#REF!</v>
      </c>
    </row>
    <row r="31" spans="1:12">
      <c r="A31" s="268"/>
      <c r="B31" s="271" t="s">
        <v>636</v>
      </c>
      <c r="C31" s="245"/>
      <c r="D31" s="269" t="e">
        <f>+GETPIVOTDATA("Net in Rs",'[2]pivot_12-13'!$A$3,"Code Name","Service Debit")</f>
        <v>#REF!</v>
      </c>
      <c r="E31" s="270" t="e">
        <f>+GETPIVOTDATA("Net in Rs",'[2]pivot_13-14'!$A$3,"Code Name","Service Debit")</f>
        <v>#REF!</v>
      </c>
      <c r="F31" s="245" t="e">
        <f>+GETPIVOTDATA("Net in Rs",'[2]pivot_14-15'!$A$3,"Code Name","Service Debit")</f>
        <v>#REF!</v>
      </c>
      <c r="G31" s="247" t="e">
        <f>+GETPIVOTDATA("Net in Rs",'[2]pivot_15-16'!$A$3,"Code Name","Service Debit")</f>
        <v>#REF!</v>
      </c>
      <c r="H31" s="248" t="e">
        <f>+GETPIVOTDATA("Net in Rs",'[2]Pivot_16-17'!$A$3,"Code Name","Service Debit")</f>
        <v>#REF!</v>
      </c>
    </row>
    <row r="32" spans="1:12">
      <c r="A32" s="268"/>
      <c r="B32" s="271" t="s">
        <v>637</v>
      </c>
      <c r="C32" s="245"/>
      <c r="D32" s="245" t="e">
        <f>+GETPIVOTDATA("Net in Rs",'[2]pivot_12-13'!$A$3,"Code Name","Others(Specify Items) - Taxes and Duties")</f>
        <v>#REF!</v>
      </c>
      <c r="E32" s="270" t="e">
        <f>+GETPIVOTDATA("Net in Rs",'[2]pivot_13-14'!$A$3,"Code Name","Others(Specify Items) - Taxes and Duties")</f>
        <v>#REF!</v>
      </c>
      <c r="F32" s="245" t="e">
        <f>+GETPIVOTDATA("Net in Rs",'[2]pivot_14-15'!$A$3,"Code Name","Others(Specify Items) - Taxes and Duties")</f>
        <v>#REF!</v>
      </c>
      <c r="G32" s="247" t="e">
        <f>+GETPIVOTDATA("Net in Rs",'[2]pivot_15-16'!$A$3,"Code Name","Others(Specify Items) - Taxes and Duties")</f>
        <v>#REF!</v>
      </c>
      <c r="H32" s="248" t="e">
        <f>+GETPIVOTDATA("Net in Rs",'[2]Pivot_16-17'!$A$3,"Code Name","Others(Specify Items) - Taxes and Duties")</f>
        <v>#REF!</v>
      </c>
    </row>
    <row r="33" spans="1:11">
      <c r="A33" s="268"/>
      <c r="B33" s="271" t="s">
        <v>638</v>
      </c>
      <c r="C33" s="245"/>
      <c r="D33" s="245" t="e">
        <f>+GETPIVOTDATA("Net in Rs",'[2]pivot_12-13'!$A$3,"Code Name","Others(Specify Items) - Depn")</f>
        <v>#REF!</v>
      </c>
      <c r="E33" s="270" t="e">
        <f>+GETPIVOTDATA("Net in Rs",'[2]pivot_13-14'!$A$3,"Code Name","Others(Specify Items) - Depn")</f>
        <v>#REF!</v>
      </c>
      <c r="F33" s="245" t="e">
        <f>+GETPIVOTDATA("Net in Rs",'[2]pivot_14-15'!$A$3,"Code Name","Others(Specify Items) - Depn")</f>
        <v>#REF!</v>
      </c>
      <c r="G33" s="247" t="e">
        <f>+GETPIVOTDATA("Net in Rs",'[2]pivot_15-16'!$A$3,"Code Name","Others(Specify Items) - Depn")</f>
        <v>#REF!</v>
      </c>
      <c r="H33" s="248" t="e">
        <f>+GETPIVOTDATA("Net in Rs",'[2]Pivot_16-17'!$A$3,"Code Name","Others(Specify Items) - Depn")</f>
        <v>#REF!</v>
      </c>
    </row>
    <row r="34" spans="1:11">
      <c r="A34" s="268"/>
      <c r="B34" s="271" t="s">
        <v>639</v>
      </c>
      <c r="C34" s="245"/>
      <c r="D34" s="245" t="e">
        <f>+GETPIVOTDATA("Net in Rs",'[2]pivot_12-13'!$A$3,"Code Name","Others(Specify Items) - Finance Cost")</f>
        <v>#REF!</v>
      </c>
      <c r="E34" s="270" t="e">
        <f>+GETPIVOTDATA("Net in Rs",'[2]pivot_13-14'!$A$3,"Code Name","Others(Specify Items) - Finance Cost")</f>
        <v>#REF!</v>
      </c>
      <c r="F34" s="245" t="e">
        <f>+GETPIVOTDATA("Net in Rs",'[2]pivot_14-15'!$A$3,"Code Name","Others(Specify Items) - Finance Cost")</f>
        <v>#REF!</v>
      </c>
      <c r="G34" s="247" t="e">
        <f>+GETPIVOTDATA("Net in Rs",'[2]pivot_15-16'!$A$3,"Code Name","Others(Specify Items) - Finance Cost")</f>
        <v>#REF!</v>
      </c>
      <c r="H34" s="248" t="e">
        <f>+GETPIVOTDATA("Net in Rs",'[2]Pivot_16-17'!$A$3,"Code Name","Others(Specify Items) - Finance Cost")</f>
        <v>#REF!</v>
      </c>
    </row>
    <row r="35" spans="1:11">
      <c r="A35" s="268"/>
      <c r="B35" s="271" t="s">
        <v>640</v>
      </c>
      <c r="C35" s="245"/>
      <c r="D35" s="269" t="e">
        <f>+GETPIVOTDATA("Net in Rs",'[2]pivot_12-13'!$A$3,"Code Name","Electricity charges")</f>
        <v>#REF!</v>
      </c>
      <c r="E35" s="270" t="e">
        <f>+GETPIVOTDATA("Net in Rs",'[2]pivot_13-14'!$A$3,"Code Name","Electricity charges")</f>
        <v>#REF!</v>
      </c>
      <c r="F35" s="245" t="e">
        <f>+GETPIVOTDATA("Net in Rs",'[2]pivot_14-15'!$A$3,"Code Name","Electricity")</f>
        <v>#REF!</v>
      </c>
      <c r="G35" s="247" t="e">
        <f>+GETPIVOTDATA("Net in Rs",'[2]pivot_15-16'!$A$3,"Code Name","Electricity")</f>
        <v>#REF!</v>
      </c>
      <c r="H35" s="248" t="e">
        <f>+GETPIVOTDATA("Net in Rs",'[2]Pivot_16-17'!$A$3,"Code Name","Electricity")</f>
        <v>#REF!</v>
      </c>
    </row>
    <row r="36" spans="1:11">
      <c r="A36" s="268"/>
      <c r="B36" s="271" t="s">
        <v>641</v>
      </c>
      <c r="C36" s="245"/>
      <c r="D36" s="269" t="e">
        <f>+GETPIVOTDATA("Net in Rs",'[2]pivot_12-13'!$A$3,"Code Name","Entertainment")</f>
        <v>#REF!</v>
      </c>
      <c r="E36" s="270" t="e">
        <f>+GETPIVOTDATA("Net in Rs",'[2]pivot_13-14'!$A$3,"Code Name","Entertainment")</f>
        <v>#REF!</v>
      </c>
      <c r="F36" s="245" t="e">
        <f>+GETPIVOTDATA("Net in Rs",'[2]pivot_14-15'!$A$3,"Code Name","Entertainment")</f>
        <v>#REF!</v>
      </c>
      <c r="G36" s="247" t="e">
        <f>+GETPIVOTDATA("Net in Rs",'[2]pivot_15-16'!$A$3,"Code Name","Entertainment")</f>
        <v>#REF!</v>
      </c>
      <c r="H36" s="248" t="e">
        <f>+GETPIVOTDATA("Net in Rs",'[2]Pivot_16-17'!$A$3,"Code Name","Entertainment")</f>
        <v>#REF!</v>
      </c>
    </row>
    <row r="37" spans="1:11" ht="15.75" thickBot="1">
      <c r="A37" s="268"/>
      <c r="B37" s="271" t="s">
        <v>642</v>
      </c>
      <c r="C37" s="245"/>
      <c r="D37" s="245" t="e">
        <f>+GETPIVOTDATA("Net in Rs",'[2]pivot_12-13'!$A$3,"Code Name","Others Expenses")+GETPIVOTDATA("Net in Rs",'[2]pivot_12-13'!$A$3,"Code Name","Other Income")+147.01+GETPIVOTDATA("Net in Rs",'[2]pivot_12-13'!$A$3,"Code Name","Training and Recruitment")-601.33-418.52-33.82</f>
        <v>#REF!</v>
      </c>
      <c r="E37" s="270" t="e">
        <f>+GETPIVOTDATA("Net in Rs",'[2]pivot_13-14'!$A$3,"Code Name","Others Expenses")+GETPIVOTDATA("Net in Rs",'[2]pivot_13-14'!$A$3,"Code Name","Other Income")+GETPIVOTDATA("Net in Rs",'[2]pivot_13-14'!$A$3,"Code Name","Training and Recruitment")</f>
        <v>#REF!</v>
      </c>
      <c r="F37" s="245" t="e">
        <f>+GETPIVOTDATA("Net in Rs",'[2]pivot_14-15'!$A$3,"Code Name","Other Income")+GETPIVOTDATA("Net in Rs",'[2]pivot_14-15'!$A$3:$A$3,"Code Name","Others Expenses")+GETPIVOTDATA("Net in Rs",'[2]pivot_14-15'!$A$3,"Code Name","Training and Recruitment")</f>
        <v>#REF!</v>
      </c>
      <c r="G37" s="247" t="e">
        <f>+GETPIVOTDATA("Net in Rs",'[2]pivot_15-16'!$A$3,"Code Name","Other Income")+GETPIVOTDATA("Net in Rs",'[2]pivot_15-16'!$A$3,"Code Name","Others Expenses")+642.014+GETPIVOTDATA("Net in Rs",'[2]pivot_15-16'!$A$3,"Code Name","Training and Recruitment")</f>
        <v>#REF!</v>
      </c>
      <c r="H37" s="248" t="e">
        <f>+GETPIVOTDATA("Net in Rs",'[2]Pivot_16-17'!$A$3,"Code Name","Other Income")+GETPIVOTDATA("Net in Rs",'[2]Pivot_16-17'!$A$3,"Code Name","Others Expenses")+GETPIVOTDATA("Net in Rs",'[2]Pivot_16-17'!$A$3,"Code Name","other expenses")+GETPIVOTDATA("Net in Rs",'[2]Pivot_16-17'!$A$3,"Code Name","Training and Recruitment")</f>
        <v>#REF!</v>
      </c>
    </row>
    <row r="38" spans="1:11" ht="15.75" thickBot="1">
      <c r="A38" s="272">
        <v>7</v>
      </c>
      <c r="B38" s="273" t="s">
        <v>643</v>
      </c>
      <c r="C38" s="251"/>
      <c r="D38" s="251" t="e">
        <f>SUM(D23:D37)+D16</f>
        <v>#REF!</v>
      </c>
      <c r="E38" s="252" t="e">
        <f>SUM(E23:E37)+E16</f>
        <v>#REF!</v>
      </c>
      <c r="F38" s="251" t="e">
        <f>SUM(F23:F37)+F16</f>
        <v>#REF!</v>
      </c>
      <c r="G38" s="274" t="e">
        <f>SUM(G23:G37)+G16</f>
        <v>#REF!</v>
      </c>
      <c r="H38" s="266" t="e">
        <f>SUM(H23:H37)+H16</f>
        <v>#REF!</v>
      </c>
      <c r="J38" s="242"/>
    </row>
    <row r="39" spans="1:11" ht="15.75" thickBot="1">
      <c r="A39" s="275">
        <v>8</v>
      </c>
      <c r="B39" s="276" t="s">
        <v>644</v>
      </c>
      <c r="C39" s="277"/>
      <c r="D39" s="277" t="e">
        <f>-GETPIVOTDATA("Net in Rs",'[2]pivot_12-13'!$A$3,"Code Name","Recoveries")-8.21-601.33</f>
        <v>#REF!</v>
      </c>
      <c r="E39" s="278" t="e">
        <f>-GETPIVOTDATA("Net in Rs",'[2]pivot_13-14'!$A$3,"Code Name","Recoveries")+3.13</f>
        <v>#REF!</v>
      </c>
      <c r="F39" s="277" t="e">
        <f>-GETPIVOTDATA("Net in Rs",'[2]pivot_14-15'!$A$3,"Code Name","Recoveries")-4.34</f>
        <v>#REF!</v>
      </c>
      <c r="G39" s="279" t="e">
        <f>-GETPIVOTDATA("Net in Rs",'[2]pivot_15-16'!$A$3,"Code Name","Recoveries")+59.53</f>
        <v>#REF!</v>
      </c>
      <c r="H39" s="280" t="e">
        <f>-GETPIVOTDATA("Net in Rs",'[2]Pivot_16-17'!$A$3,"Code Name","Recoveries")+6.67</f>
        <v>#REF!</v>
      </c>
      <c r="K39" s="242"/>
    </row>
    <row r="40" spans="1:11" ht="15.75" thickBot="1">
      <c r="A40" s="272">
        <v>9</v>
      </c>
      <c r="B40" s="273" t="s">
        <v>645</v>
      </c>
      <c r="C40" s="251"/>
      <c r="D40" s="251" t="e">
        <f>+D38-D39</f>
        <v>#REF!</v>
      </c>
      <c r="E40" s="251" t="e">
        <f>+E38-E39</f>
        <v>#REF!</v>
      </c>
      <c r="F40" s="251" t="e">
        <f>+F38-F39</f>
        <v>#REF!</v>
      </c>
      <c r="G40" s="251" t="e">
        <f>+G38-G39</f>
        <v>#REF!</v>
      </c>
      <c r="H40" s="251" t="e">
        <f>+H38-H39</f>
        <v>#REF!</v>
      </c>
      <c r="K40" s="241"/>
    </row>
    <row r="41" spans="1:11">
      <c r="A41" s="281"/>
      <c r="B41" s="267"/>
      <c r="C41" s="257"/>
      <c r="D41" s="257"/>
      <c r="E41" s="258"/>
      <c r="F41" s="257"/>
      <c r="G41" s="259"/>
      <c r="H41" s="260"/>
    </row>
    <row r="42" spans="1:11">
      <c r="A42" s="204" t="s">
        <v>646</v>
      </c>
      <c r="B42" s="224" t="s">
        <v>647</v>
      </c>
      <c r="C42" s="239"/>
      <c r="D42" s="282"/>
      <c r="E42" s="282"/>
      <c r="F42" s="283"/>
      <c r="G42" s="239"/>
      <c r="H42" s="240"/>
    </row>
    <row r="43" spans="1:11">
      <c r="A43" s="204"/>
      <c r="B43" s="224"/>
      <c r="C43" s="237"/>
      <c r="D43" s="237"/>
      <c r="E43" s="238"/>
      <c r="F43" s="237"/>
      <c r="G43" s="239"/>
      <c r="H43" s="240"/>
    </row>
    <row r="44" spans="1:11">
      <c r="A44" s="222">
        <v>1</v>
      </c>
      <c r="B44" s="224" t="s">
        <v>648</v>
      </c>
      <c r="C44" s="237"/>
      <c r="D44" s="237">
        <f>+[2]allcn!G20+[2]allcn!H20+[2]allcn!I20+[2]allcn!J20+[2]allcn!K20</f>
        <v>14151.119122226433</v>
      </c>
      <c r="E44" s="238">
        <f>+[2]allcn!G21+[2]allcn!H21+[2]allcn!I21+[2]allcn!J21+[2]allcn!K21</f>
        <v>18136.176958405187</v>
      </c>
      <c r="F44" s="237">
        <f>+[2]allcn!G22+[2]allcn!H22+[2]allcn!I22+[2]allcn!J22+[2]allcn!K22</f>
        <v>18237.754123828596</v>
      </c>
      <c r="G44" s="239">
        <f>+[2]allcn!G23+[2]allcn!H23+[2]allcn!I23+[2]allcn!J23+[2]allcn!K23</f>
        <v>21226.950219180966</v>
      </c>
      <c r="H44" s="240">
        <f>+[2]allcn!G24+[2]allcn!H24+[2]allcn!I24+[2]allcn!J24+[2]allcn!K24</f>
        <v>19889.708501595313</v>
      </c>
    </row>
    <row r="45" spans="1:11" ht="30">
      <c r="A45" s="222">
        <v>2</v>
      </c>
      <c r="B45" s="224" t="s">
        <v>649</v>
      </c>
      <c r="C45" s="239">
        <v>0</v>
      </c>
      <c r="D45" s="283"/>
      <c r="E45" s="238">
        <v>0</v>
      </c>
      <c r="F45" s="237">
        <v>0</v>
      </c>
      <c r="G45" s="239">
        <v>0</v>
      </c>
      <c r="H45" s="240">
        <v>0</v>
      </c>
    </row>
    <row r="46" spans="1:11">
      <c r="A46" s="222">
        <v>3</v>
      </c>
      <c r="B46" s="224" t="s">
        <v>650</v>
      </c>
      <c r="C46" s="237"/>
      <c r="D46" s="237">
        <v>0</v>
      </c>
      <c r="E46" s="237">
        <v>0</v>
      </c>
      <c r="F46" s="237">
        <v>0</v>
      </c>
      <c r="G46" s="237">
        <v>0</v>
      </c>
      <c r="H46" s="237">
        <v>0</v>
      </c>
    </row>
    <row r="47" spans="1:11">
      <c r="A47" s="222">
        <v>4</v>
      </c>
      <c r="B47" s="224" t="s">
        <v>651</v>
      </c>
      <c r="C47" s="237"/>
      <c r="D47" s="237">
        <v>0</v>
      </c>
      <c r="E47" s="237">
        <v>0</v>
      </c>
      <c r="F47" s="237">
        <v>0</v>
      </c>
      <c r="G47" s="237">
        <v>0</v>
      </c>
      <c r="H47" s="237">
        <v>0</v>
      </c>
    </row>
    <row r="48" spans="1:11">
      <c r="A48" s="222">
        <v>5</v>
      </c>
      <c r="B48" s="224" t="s">
        <v>652</v>
      </c>
      <c r="C48" s="237"/>
      <c r="D48" s="237">
        <v>0</v>
      </c>
      <c r="E48" s="237">
        <v>0</v>
      </c>
      <c r="F48" s="237">
        <v>0</v>
      </c>
      <c r="G48" s="237">
        <v>0</v>
      </c>
      <c r="H48" s="237">
        <v>0</v>
      </c>
    </row>
    <row r="49" spans="1:8">
      <c r="A49" s="222">
        <v>6</v>
      </c>
      <c r="B49" s="224" t="s">
        <v>653</v>
      </c>
      <c r="C49" s="237"/>
      <c r="D49" s="237">
        <f>+[2]allcn!C20+[2]allcn!D20+[2]allcn!E20+[2]allcn!F20</f>
        <v>31818.613104373559</v>
      </c>
      <c r="E49" s="238">
        <f>+[2]allcn!C21+[2]allcn!D21++[2]allcn!E21+[2]allcn!F21</f>
        <v>42926.592806294815</v>
      </c>
      <c r="F49" s="237">
        <f>+[2]allcn!C22+[2]allcn!D22+[2]allcn!E22+[2]allcn!F22</f>
        <v>43265.047026371445</v>
      </c>
      <c r="G49" s="239">
        <f>+[2]allcn!C23+[2]allcn!D23+[2]allcn!E23+[2]allcn!F23</f>
        <v>50003.71171541902</v>
      </c>
      <c r="H49" s="240">
        <f>+[2]allcn!C24+[2]allcn!D24+[2]allcn!E24+[2]allcn!F24</f>
        <v>49565.588603704688</v>
      </c>
    </row>
    <row r="50" spans="1:8" ht="45">
      <c r="A50" s="204"/>
      <c r="B50" s="224" t="s">
        <v>654</v>
      </c>
      <c r="C50" s="234"/>
      <c r="D50" s="206"/>
      <c r="E50" s="206"/>
      <c r="F50" s="206"/>
      <c r="G50" s="206"/>
      <c r="H50" s="284"/>
    </row>
    <row r="51" spans="1:8" ht="75">
      <c r="A51" s="204" t="s">
        <v>655</v>
      </c>
      <c r="B51" s="224" t="s">
        <v>656</v>
      </c>
      <c r="C51" s="234"/>
      <c r="D51" s="206"/>
      <c r="E51" s="206"/>
      <c r="F51" s="206"/>
      <c r="G51" s="206"/>
      <c r="H51" s="284"/>
    </row>
    <row r="52" spans="1:8" ht="30">
      <c r="A52" s="222">
        <v>1</v>
      </c>
      <c r="B52" s="224" t="s">
        <v>657</v>
      </c>
      <c r="C52" s="234"/>
      <c r="D52" s="206"/>
      <c r="E52" s="206"/>
      <c r="F52" s="224"/>
      <c r="G52" s="234"/>
      <c r="H52" s="235"/>
    </row>
    <row r="53" spans="1:8" ht="30.75" thickBot="1">
      <c r="A53" s="285">
        <v>2</v>
      </c>
      <c r="B53" s="286" t="s">
        <v>658</v>
      </c>
      <c r="C53" s="287"/>
      <c r="D53" s="288"/>
      <c r="E53" s="288"/>
      <c r="F53" s="286"/>
      <c r="G53" s="287"/>
      <c r="H53" s="289"/>
    </row>
    <row r="54" spans="1:8">
      <c r="A54" s="200" t="s">
        <v>659</v>
      </c>
    </row>
    <row r="55" spans="1:8">
      <c r="A55" s="200" t="s">
        <v>660</v>
      </c>
    </row>
    <row r="56" spans="1:8">
      <c r="A56" s="200" t="s">
        <v>661</v>
      </c>
    </row>
    <row r="57" spans="1:8">
      <c r="A57" s="200" t="s">
        <v>662</v>
      </c>
    </row>
    <row r="58" spans="1:8">
      <c r="A58" s="200" t="s">
        <v>663</v>
      </c>
    </row>
    <row r="59" spans="1:8">
      <c r="A59" s="200" t="s">
        <v>664</v>
      </c>
    </row>
    <row r="60" spans="1:8">
      <c r="A60" s="200" t="s">
        <v>665</v>
      </c>
    </row>
    <row r="61" spans="1:8">
      <c r="A61" s="200" t="s">
        <v>666</v>
      </c>
    </row>
    <row r="62" spans="1:8">
      <c r="A62" s="200" t="s">
        <v>667</v>
      </c>
    </row>
    <row r="63" spans="1:8" ht="225">
      <c r="A63" s="224" t="s">
        <v>668</v>
      </c>
      <c r="B63" s="224" t="s">
        <v>669</v>
      </c>
      <c r="C63" s="234" t="s">
        <v>670</v>
      </c>
      <c r="D63" s="206"/>
      <c r="E63" s="290"/>
      <c r="F63" s="206"/>
      <c r="G63" s="290"/>
    </row>
    <row r="64" spans="1:8">
      <c r="A64" s="224"/>
      <c r="B64" s="224"/>
      <c r="C64" s="234"/>
      <c r="D64" s="206"/>
      <c r="E64" s="290"/>
      <c r="F64" s="206"/>
      <c r="G64" s="290"/>
    </row>
    <row r="65" spans="1:1">
      <c r="A65" s="200" t="s">
        <v>671</v>
      </c>
    </row>
    <row r="66" spans="1:1">
      <c r="A66" s="200" t="s">
        <v>672</v>
      </c>
    </row>
    <row r="67" spans="1:1">
      <c r="A67" s="200" t="s">
        <v>673</v>
      </c>
    </row>
    <row r="68" spans="1:1">
      <c r="A68" s="200" t="s">
        <v>674</v>
      </c>
    </row>
    <row r="69" spans="1:1">
      <c r="A69" s="200" t="s">
        <v>663</v>
      </c>
    </row>
  </sheetData>
  <mergeCells count="3">
    <mergeCell ref="A3:H3"/>
    <mergeCell ref="K16:L16"/>
    <mergeCell ref="A1:H1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O47"/>
  <sheetViews>
    <sheetView topLeftCell="A18" workbookViewId="0">
      <selection activeCell="A2" sqref="A2:L25"/>
    </sheetView>
  </sheetViews>
  <sheetFormatPr defaultRowHeight="12.75"/>
  <cols>
    <col min="1" max="1" width="15" style="291" customWidth="1"/>
    <col min="2" max="2" width="12.33203125" style="291" bestFit="1" customWidth="1"/>
    <col min="3" max="3" width="21.1640625" style="291" bestFit="1" customWidth="1"/>
    <col min="4" max="4" width="12.83203125" style="291" bestFit="1" customWidth="1"/>
    <col min="5" max="5" width="13" style="291" bestFit="1" customWidth="1"/>
    <col min="6" max="6" width="11.5" style="291" bestFit="1" customWidth="1"/>
    <col min="7" max="7" width="12.33203125" style="291" bestFit="1" customWidth="1"/>
    <col min="8" max="8" width="11.83203125" style="291" bestFit="1" customWidth="1"/>
    <col min="9" max="9" width="14.1640625" style="291" bestFit="1" customWidth="1"/>
    <col min="10" max="10" width="14" style="291" bestFit="1" customWidth="1"/>
    <col min="11" max="11" width="14.1640625" style="291" bestFit="1" customWidth="1"/>
    <col min="12" max="12" width="14.33203125" style="291" bestFit="1" customWidth="1"/>
    <col min="13" max="13" width="12.83203125" style="291" bestFit="1" customWidth="1"/>
    <col min="14" max="14" width="14.83203125" style="291" bestFit="1" customWidth="1"/>
    <col min="15" max="17" width="9.33203125" style="291"/>
    <col min="18" max="18" width="12.83203125" style="291" bestFit="1" customWidth="1"/>
    <col min="19" max="16384" width="9.33203125" style="291"/>
  </cols>
  <sheetData>
    <row r="1" spans="1:15">
      <c r="B1" s="620" t="s">
        <v>675</v>
      </c>
      <c r="C1" s="620"/>
    </row>
    <row r="2" spans="1:15" ht="13.5" thickBot="1"/>
    <row r="3" spans="1:15" ht="15.75" thickBot="1">
      <c r="A3" s="292"/>
      <c r="B3" s="293" t="s">
        <v>676</v>
      </c>
      <c r="C3" s="293" t="s">
        <v>677</v>
      </c>
      <c r="D3" s="293" t="s">
        <v>678</v>
      </c>
      <c r="E3" s="293" t="s">
        <v>679</v>
      </c>
      <c r="F3" s="293" t="s">
        <v>680</v>
      </c>
      <c r="G3" s="293" t="s">
        <v>681</v>
      </c>
      <c r="H3" s="293" t="s">
        <v>682</v>
      </c>
      <c r="I3" s="293" t="s">
        <v>683</v>
      </c>
      <c r="J3" s="293" t="s">
        <v>684</v>
      </c>
      <c r="K3" s="293" t="s">
        <v>685</v>
      </c>
      <c r="L3" s="294" t="s">
        <v>686</v>
      </c>
      <c r="M3" s="295" t="s">
        <v>687</v>
      </c>
    </row>
    <row r="4" spans="1:15" ht="15">
      <c r="A4" s="621" t="s">
        <v>688</v>
      </c>
      <c r="B4" s="296" t="s">
        <v>294</v>
      </c>
      <c r="C4" s="297">
        <v>1337389174.2</v>
      </c>
      <c r="D4" s="297">
        <v>448174088.12</v>
      </c>
      <c r="E4" s="297">
        <v>1389728523.8800001</v>
      </c>
      <c r="F4" s="297">
        <v>6569667.5499999998</v>
      </c>
      <c r="G4" s="297">
        <v>473020498.04000002</v>
      </c>
      <c r="H4" s="297">
        <v>149963819.68000001</v>
      </c>
      <c r="I4" s="297">
        <v>758236510.24000001</v>
      </c>
      <c r="J4" s="297">
        <v>33891148</v>
      </c>
      <c r="K4" s="297">
        <v>0</v>
      </c>
      <c r="L4" s="298">
        <f>SUM(C4:K4)</f>
        <v>4596973429.71</v>
      </c>
      <c r="M4" s="291">
        <f t="shared" ref="M4:M9" si="0">+L4/10^5</f>
        <v>45969.734297100003</v>
      </c>
    </row>
    <row r="5" spans="1:15" ht="15">
      <c r="A5" s="622"/>
      <c r="B5" s="299" t="s">
        <v>295</v>
      </c>
      <c r="C5" s="300">
        <v>1775764857.25</v>
      </c>
      <c r="D5" s="300">
        <v>611765842.75999999</v>
      </c>
      <c r="E5" s="300">
        <v>1897192620.3</v>
      </c>
      <c r="F5" s="301">
        <v>7935645.5199999996</v>
      </c>
      <c r="G5" s="300">
        <v>608148202.03999996</v>
      </c>
      <c r="H5" s="300">
        <v>195801507.61000001</v>
      </c>
      <c r="I5" s="300">
        <v>975976165.19000006</v>
      </c>
      <c r="J5" s="301">
        <v>33691688</v>
      </c>
      <c r="K5" s="300">
        <v>0</v>
      </c>
      <c r="L5" s="302">
        <f>SUM(C5:K5)</f>
        <v>6106276528.6700001</v>
      </c>
      <c r="M5" s="291">
        <f t="shared" si="0"/>
        <v>61062.7652867</v>
      </c>
    </row>
    <row r="6" spans="1:15" ht="15">
      <c r="A6" s="622"/>
      <c r="B6" s="299" t="s">
        <v>296</v>
      </c>
      <c r="C6" s="300">
        <v>1787144794.04</v>
      </c>
      <c r="D6" s="300">
        <v>591816017.89999998</v>
      </c>
      <c r="E6" s="300">
        <v>1939815494.8399999</v>
      </c>
      <c r="F6" s="301">
        <v>7728637.04</v>
      </c>
      <c r="G6" s="300">
        <v>591128772.30999994</v>
      </c>
      <c r="H6" s="300">
        <v>209853639.93000001</v>
      </c>
      <c r="I6" s="300">
        <v>982217759.80999994</v>
      </c>
      <c r="J6" s="301">
        <v>40575342</v>
      </c>
      <c r="K6" s="300">
        <v>0</v>
      </c>
      <c r="L6" s="302">
        <f>SUM(C6:K6)</f>
        <v>6150280457.8699989</v>
      </c>
      <c r="M6" s="291">
        <f t="shared" si="0"/>
        <v>61502.804578699986</v>
      </c>
    </row>
    <row r="7" spans="1:15" ht="15">
      <c r="A7" s="622"/>
      <c r="B7" s="299" t="s">
        <v>60</v>
      </c>
      <c r="C7" s="300">
        <v>2043339915</v>
      </c>
      <c r="D7" s="300">
        <v>699651581.98000002</v>
      </c>
      <c r="E7" s="300">
        <v>2249188277.0500002</v>
      </c>
      <c r="F7" s="301">
        <v>8191153.9400000004</v>
      </c>
      <c r="G7" s="300">
        <v>607588745.27999997</v>
      </c>
      <c r="H7" s="300">
        <v>222201246.19999999</v>
      </c>
      <c r="I7" s="300">
        <v>1058161185.25</v>
      </c>
      <c r="J7" s="301">
        <v>39992104.539999999</v>
      </c>
      <c r="K7" s="300">
        <v>194751637.25</v>
      </c>
      <c r="L7" s="302">
        <f>SUM(C7:K7)</f>
        <v>7123065846.4899998</v>
      </c>
      <c r="M7" s="291">
        <f t="shared" si="0"/>
        <v>71230.6584649</v>
      </c>
    </row>
    <row r="8" spans="1:15" ht="15.75" thickBot="1">
      <c r="A8" s="623"/>
      <c r="B8" s="303" t="s">
        <v>61</v>
      </c>
      <c r="C8" s="304">
        <v>2050967291.8599999</v>
      </c>
      <c r="D8" s="304">
        <v>711813397.32000005</v>
      </c>
      <c r="E8" s="304">
        <v>2184521208.8200002</v>
      </c>
      <c r="F8" s="305">
        <v>9256898.8499999996</v>
      </c>
      <c r="G8" s="304">
        <v>553432903.91999996</v>
      </c>
      <c r="H8" s="304">
        <v>200428360.05000001</v>
      </c>
      <c r="I8" s="304">
        <v>978826743.24000001</v>
      </c>
      <c r="J8" s="305">
        <v>44444780.350000001</v>
      </c>
      <c r="K8" s="304">
        <v>211838037.11000001</v>
      </c>
      <c r="L8" s="306">
        <f>SUM(C8:K8)</f>
        <v>6945529621.5200005</v>
      </c>
      <c r="M8" s="291">
        <f t="shared" si="0"/>
        <v>69455.296215200011</v>
      </c>
    </row>
    <row r="9" spans="1:15" ht="15.75" thickBot="1">
      <c r="A9" s="307"/>
      <c r="B9" s="293" t="s">
        <v>686</v>
      </c>
      <c r="C9" s="294">
        <f t="shared" ref="C9:K9" si="1">SUM(C4:C8)</f>
        <v>8994606032.3500004</v>
      </c>
      <c r="D9" s="294">
        <f t="shared" si="1"/>
        <v>3063220928.0800004</v>
      </c>
      <c r="E9" s="294">
        <f t="shared" si="1"/>
        <v>9660446124.8900013</v>
      </c>
      <c r="F9" s="294">
        <f t="shared" si="1"/>
        <v>39682002.899999999</v>
      </c>
      <c r="G9" s="294">
        <f t="shared" si="1"/>
        <v>2833319121.5900002</v>
      </c>
      <c r="H9" s="294">
        <f t="shared" si="1"/>
        <v>978248573.47000003</v>
      </c>
      <c r="I9" s="294">
        <f t="shared" si="1"/>
        <v>4753418363.7299995</v>
      </c>
      <c r="J9" s="294">
        <f t="shared" si="1"/>
        <v>192595062.88999999</v>
      </c>
      <c r="K9" s="294">
        <f t="shared" si="1"/>
        <v>406589674.36000001</v>
      </c>
      <c r="L9" s="294">
        <f>SUM(L4:L8)</f>
        <v>30922125884.259998</v>
      </c>
      <c r="M9" s="291">
        <f t="shared" si="0"/>
        <v>309221.25884259999</v>
      </c>
    </row>
    <row r="10" spans="1:15" ht="13.5" thickBot="1"/>
    <row r="11" spans="1:15" ht="15">
      <c r="A11" s="624" t="s">
        <v>689</v>
      </c>
      <c r="B11" s="308" t="s">
        <v>676</v>
      </c>
      <c r="C11" s="308" t="s">
        <v>677</v>
      </c>
      <c r="D11" s="308" t="s">
        <v>678</v>
      </c>
      <c r="E11" s="308" t="s">
        <v>679</v>
      </c>
      <c r="F11" s="308" t="s">
        <v>680</v>
      </c>
      <c r="G11" s="308" t="s">
        <v>681</v>
      </c>
      <c r="H11" s="308" t="s">
        <v>682</v>
      </c>
      <c r="I11" s="308" t="s">
        <v>683</v>
      </c>
      <c r="J11" s="308" t="s">
        <v>684</v>
      </c>
      <c r="K11" s="308" t="s">
        <v>685</v>
      </c>
      <c r="L11" s="309" t="s">
        <v>686</v>
      </c>
    </row>
    <row r="12" spans="1:15" ht="15">
      <c r="A12" s="625"/>
      <c r="B12" s="310" t="s">
        <v>294</v>
      </c>
      <c r="C12" s="311">
        <f>+C4/$L$4</f>
        <v>0.29092819322307223</v>
      </c>
      <c r="D12" s="311">
        <f t="shared" ref="D12:L12" si="2">+D4/$L$4</f>
        <v>9.7493295311100597E-2</v>
      </c>
      <c r="E12" s="311">
        <f t="shared" si="2"/>
        <v>0.30231380388197526</v>
      </c>
      <c r="F12" s="311">
        <f t="shared" si="2"/>
        <v>1.4291288932715121E-3</v>
      </c>
      <c r="G12" s="311">
        <f t="shared" si="2"/>
        <v>0.10289824495893171</v>
      </c>
      <c r="H12" s="311">
        <f t="shared" si="2"/>
        <v>3.2622294205746687E-2</v>
      </c>
      <c r="I12" s="311">
        <f t="shared" si="2"/>
        <v>0.16494254792502322</v>
      </c>
      <c r="J12" s="311">
        <f t="shared" si="2"/>
        <v>7.3724916008788034E-3</v>
      </c>
      <c r="K12" s="311">
        <f t="shared" si="2"/>
        <v>0</v>
      </c>
      <c r="L12" s="312">
        <f t="shared" si="2"/>
        <v>1</v>
      </c>
    </row>
    <row r="13" spans="1:15" ht="15">
      <c r="A13" s="625"/>
      <c r="B13" s="310" t="s">
        <v>295</v>
      </c>
      <c r="C13" s="311">
        <f>+C5/$L$5</f>
        <v>0.29080976744379067</v>
      </c>
      <c r="D13" s="311">
        <f t="shared" ref="D13:L13" si="3">+D5/$L$5</f>
        <v>0.10018639671617491</v>
      </c>
      <c r="E13" s="311">
        <f t="shared" si="3"/>
        <v>0.31069549690263126</v>
      </c>
      <c r="F13" s="311">
        <f t="shared" si="3"/>
        <v>1.2995882978343353E-3</v>
      </c>
      <c r="G13" s="311">
        <f t="shared" si="3"/>
        <v>9.9593950451579025E-2</v>
      </c>
      <c r="H13" s="311">
        <f t="shared" si="3"/>
        <v>3.2065614239820101E-2</v>
      </c>
      <c r="I13" s="311">
        <f t="shared" si="3"/>
        <v>0.1598316356305888</v>
      </c>
      <c r="J13" s="311">
        <f t="shared" si="3"/>
        <v>5.5175503175809073E-3</v>
      </c>
      <c r="K13" s="311">
        <f t="shared" si="3"/>
        <v>0</v>
      </c>
      <c r="L13" s="312">
        <f t="shared" si="3"/>
        <v>1</v>
      </c>
      <c r="O13" s="291">
        <f>45969.73-7.23</f>
        <v>45962.5</v>
      </c>
    </row>
    <row r="14" spans="1:15" ht="15">
      <c r="A14" s="625"/>
      <c r="B14" s="310" t="s">
        <v>296</v>
      </c>
      <c r="C14" s="311">
        <f>+C6/$L$6</f>
        <v>0.29057939817250777</v>
      </c>
      <c r="D14" s="311">
        <f t="shared" ref="D14:L14" si="4">+D6/$L$6</f>
        <v>9.6225858634251801E-2</v>
      </c>
      <c r="E14" s="311">
        <f t="shared" si="4"/>
        <v>0.31540277034972941</v>
      </c>
      <c r="F14" s="311">
        <f t="shared" si="4"/>
        <v>1.2566316435391675E-3</v>
      </c>
      <c r="G14" s="311">
        <f t="shared" si="4"/>
        <v>9.6114116479612238E-2</v>
      </c>
      <c r="H14" s="311">
        <f t="shared" si="4"/>
        <v>3.4120987061893718E-2</v>
      </c>
      <c r="I14" s="311">
        <f t="shared" si="4"/>
        <v>0.15970292192986713</v>
      </c>
      <c r="J14" s="311">
        <f t="shared" si="4"/>
        <v>6.597315728598869E-3</v>
      </c>
      <c r="K14" s="311">
        <f t="shared" si="4"/>
        <v>0</v>
      </c>
      <c r="L14" s="312">
        <f t="shared" si="4"/>
        <v>1</v>
      </c>
    </row>
    <row r="15" spans="1:15" ht="15">
      <c r="A15" s="625"/>
      <c r="B15" s="310" t="s">
        <v>60</v>
      </c>
      <c r="C15" s="311">
        <f>+C7/$L$7</f>
        <v>0.28686242118720373</v>
      </c>
      <c r="D15" s="311">
        <f t="shared" ref="D15:L15" si="5">+D7/$L$7</f>
        <v>9.8223376992192774E-2</v>
      </c>
      <c r="E15" s="311">
        <f t="shared" si="5"/>
        <v>0.31576126425369522</v>
      </c>
      <c r="F15" s="311">
        <f t="shared" si="5"/>
        <v>1.1499478056960989E-3</v>
      </c>
      <c r="G15" s="311">
        <f t="shared" si="5"/>
        <v>8.5298768588444068E-2</v>
      </c>
      <c r="H15" s="311">
        <f t="shared" si="5"/>
        <v>3.1194607910229141E-2</v>
      </c>
      <c r="I15" s="311">
        <f t="shared" si="5"/>
        <v>0.14855417709937713</v>
      </c>
      <c r="J15" s="311">
        <f t="shared" si="5"/>
        <v>5.614451052661085E-3</v>
      </c>
      <c r="K15" s="311">
        <f t="shared" si="5"/>
        <v>2.7340985110500819E-2</v>
      </c>
      <c r="L15" s="312">
        <f t="shared" si="5"/>
        <v>1</v>
      </c>
    </row>
    <row r="16" spans="1:15" ht="15.75" thickBot="1">
      <c r="A16" s="626"/>
      <c r="B16" s="313" t="s">
        <v>61</v>
      </c>
      <c r="C16" s="314">
        <f>+C8/$L$8</f>
        <v>0.2952931458970805</v>
      </c>
      <c r="D16" s="314">
        <f t="shared" ref="D16:L16" si="6">+D8/$L$8</f>
        <v>0.10248511432656199</v>
      </c>
      <c r="E16" s="314">
        <f t="shared" si="6"/>
        <v>0.31452190514766343</v>
      </c>
      <c r="F16" s="314">
        <f t="shared" si="6"/>
        <v>1.3327851660611255E-3</v>
      </c>
      <c r="G16" s="314">
        <f t="shared" si="6"/>
        <v>7.9681886634713317E-2</v>
      </c>
      <c r="H16" s="314">
        <f t="shared" si="6"/>
        <v>2.8857174466435737E-2</v>
      </c>
      <c r="I16" s="314">
        <f t="shared" si="6"/>
        <v>0.14092902868158638</v>
      </c>
      <c r="J16" s="314">
        <f t="shared" si="6"/>
        <v>6.399048419906306E-3</v>
      </c>
      <c r="K16" s="314">
        <f t="shared" si="6"/>
        <v>3.0499911259991162E-2</v>
      </c>
      <c r="L16" s="315">
        <f t="shared" si="6"/>
        <v>1</v>
      </c>
    </row>
    <row r="18" spans="1:15" ht="13.5" thickBot="1">
      <c r="M18" s="291" t="s">
        <v>690</v>
      </c>
    </row>
    <row r="19" spans="1:15" ht="15">
      <c r="A19" s="627" t="s">
        <v>691</v>
      </c>
      <c r="B19" s="308" t="s">
        <v>676</v>
      </c>
      <c r="C19" s="308" t="s">
        <v>677</v>
      </c>
      <c r="D19" s="308" t="s">
        <v>678</v>
      </c>
      <c r="E19" s="308" t="s">
        <v>679</v>
      </c>
      <c r="F19" s="308" t="s">
        <v>680</v>
      </c>
      <c r="G19" s="308" t="s">
        <v>681</v>
      </c>
      <c r="H19" s="308" t="s">
        <v>682</v>
      </c>
      <c r="I19" s="308" t="s">
        <v>683</v>
      </c>
      <c r="J19" s="308" t="s">
        <v>684</v>
      </c>
      <c r="K19" s="308" t="s">
        <v>685</v>
      </c>
      <c r="L19" s="309" t="s">
        <v>686</v>
      </c>
    </row>
    <row r="20" spans="1:15" ht="15">
      <c r="A20" s="628"/>
      <c r="B20" s="310" t="s">
        <v>294</v>
      </c>
      <c r="C20" s="316">
        <f>+$L$20*C12</f>
        <v>13373.891139633171</v>
      </c>
      <c r="D20" s="316">
        <f t="shared" ref="D20:K20" si="7">+$L$20*D12</f>
        <v>4481.7406793401306</v>
      </c>
      <c r="E20" s="316">
        <f t="shared" si="7"/>
        <v>13897.284612859268</v>
      </c>
      <c r="F20" s="316">
        <f t="shared" si="7"/>
        <v>65.696672540988601</v>
      </c>
      <c r="G20" s="316">
        <f t="shared" si="7"/>
        <v>4730.2047673491834</v>
      </c>
      <c r="H20" s="316">
        <f t="shared" si="7"/>
        <v>1499.6381292555395</v>
      </c>
      <c r="I20" s="316">
        <f t="shared" si="7"/>
        <v>7582.364760886453</v>
      </c>
      <c r="J20" s="316">
        <f t="shared" si="7"/>
        <v>338.91146473525606</v>
      </c>
      <c r="K20" s="316">
        <f t="shared" si="7"/>
        <v>0</v>
      </c>
      <c r="L20" s="317">
        <f>+'[2]Annex-VIII'!D40</f>
        <v>45969.73222659999</v>
      </c>
      <c r="M20" s="318">
        <f t="shared" ref="M20:M25" si="8">+L20-M4</f>
        <v>-2.070500013360288E-3</v>
      </c>
      <c r="N20" s="319">
        <f>+M20/100</f>
        <v>-2.0705000133602879E-5</v>
      </c>
    </row>
    <row r="21" spans="1:15" ht="15">
      <c r="A21" s="628"/>
      <c r="B21" s="310" t="s">
        <v>295</v>
      </c>
      <c r="C21" s="316">
        <f>+$L$21*C13</f>
        <v>17757.649874746141</v>
      </c>
      <c r="D21" s="316">
        <f t="shared" ref="D21:K21" si="9">+$L$21*D13</f>
        <v>6117.6588762346846</v>
      </c>
      <c r="E21" s="316">
        <f t="shared" si="9"/>
        <v>18971.927594294437</v>
      </c>
      <c r="F21" s="316">
        <f t="shared" si="9"/>
        <v>79.356461019556392</v>
      </c>
      <c r="G21" s="316">
        <f t="shared" si="9"/>
        <v>6081.4824663817099</v>
      </c>
      <c r="H21" s="316">
        <f t="shared" si="9"/>
        <v>1958.0152196898207</v>
      </c>
      <c r="I21" s="316">
        <f t="shared" si="9"/>
        <v>9759.7623676260664</v>
      </c>
      <c r="J21" s="316">
        <f t="shared" si="9"/>
        <v>336.91690470759033</v>
      </c>
      <c r="K21" s="316">
        <f t="shared" si="9"/>
        <v>0</v>
      </c>
      <c r="L21" s="317">
        <f>+'[2]Annex-VIII'!E40:E40</f>
        <v>61062.769764700002</v>
      </c>
      <c r="M21" s="318">
        <f t="shared" si="8"/>
        <v>4.478000002563931E-3</v>
      </c>
      <c r="N21" s="320"/>
    </row>
    <row r="22" spans="1:15" ht="15">
      <c r="A22" s="628"/>
      <c r="B22" s="310" t="s">
        <v>296</v>
      </c>
      <c r="C22" s="316">
        <f>+$L$22*C14</f>
        <v>17871.446944148545</v>
      </c>
      <c r="D22" s="316">
        <f t="shared" ref="D22:K22" si="10">+$L$22*D14</f>
        <v>5918.1598490896477</v>
      </c>
      <c r="E22" s="316">
        <f t="shared" si="10"/>
        <v>19398.153867041616</v>
      </c>
      <c r="F22" s="316">
        <f t="shared" si="10"/>
        <v>77.28636609163847</v>
      </c>
      <c r="G22" s="316">
        <f t="shared" si="10"/>
        <v>5911.2873935727557</v>
      </c>
      <c r="H22" s="316">
        <f t="shared" si="10"/>
        <v>2098.5362823161977</v>
      </c>
      <c r="I22" s="316">
        <f t="shared" si="10"/>
        <v>9822.1770505585391</v>
      </c>
      <c r="J22" s="316">
        <f t="shared" si="10"/>
        <v>405.7533973811033</v>
      </c>
      <c r="K22" s="316">
        <f t="shared" si="10"/>
        <v>0</v>
      </c>
      <c r="L22" s="317">
        <f>+'[2]Annex-VIII'!F40</f>
        <v>61502.801150200037</v>
      </c>
      <c r="M22" s="318">
        <f t="shared" si="8"/>
        <v>-3.4284999492228962E-3</v>
      </c>
    </row>
    <row r="23" spans="1:15" ht="15">
      <c r="A23" s="628"/>
      <c r="B23" s="310" t="s">
        <v>60</v>
      </c>
      <c r="C23" s="316">
        <f>+$L$23*C15</f>
        <v>20433.400145326541</v>
      </c>
      <c r="D23" s="316">
        <f t="shared" ref="D23:K23" si="11">+$L$23*D15</f>
        <v>6996.516160605649</v>
      </c>
      <c r="E23" s="316">
        <f t="shared" si="11"/>
        <v>22491.883866096854</v>
      </c>
      <c r="F23" s="316">
        <f t="shared" si="11"/>
        <v>81.911543389973886</v>
      </c>
      <c r="G23" s="316">
        <f t="shared" si="11"/>
        <v>6075.8877487611353</v>
      </c>
      <c r="H23" s="316">
        <f t="shared" si="11"/>
        <v>2222.0125702359301</v>
      </c>
      <c r="I23" s="316">
        <f t="shared" si="11"/>
        <v>10581.612367938425</v>
      </c>
      <c r="J23" s="316">
        <f t="shared" si="11"/>
        <v>399.92106488046073</v>
      </c>
      <c r="K23" s="316">
        <f t="shared" si="11"/>
        <v>1947.5164673650154</v>
      </c>
      <c r="L23" s="317">
        <f>+'[2]Annex-VIII'!G40</f>
        <v>71230.661934599979</v>
      </c>
      <c r="M23" s="318">
        <f t="shared" si="8"/>
        <v>3.4696999791776761E-3</v>
      </c>
    </row>
    <row r="24" spans="1:15" ht="15">
      <c r="A24" s="628"/>
      <c r="B24" s="310" t="s">
        <v>61</v>
      </c>
      <c r="C24" s="316">
        <f>+$L$24*C16</f>
        <v>20509.673181440427</v>
      </c>
      <c r="D24" s="316">
        <f t="shared" ref="D24:K24" si="12">+$L$24*D16</f>
        <v>7118.1340644220008</v>
      </c>
      <c r="E24" s="316">
        <f t="shared" si="12"/>
        <v>21845.21236815595</v>
      </c>
      <c r="F24" s="316">
        <f t="shared" si="12"/>
        <v>92.568989686312079</v>
      </c>
      <c r="G24" s="316">
        <f t="shared" si="12"/>
        <v>5534.3291101248469</v>
      </c>
      <c r="H24" s="316">
        <f t="shared" si="12"/>
        <v>2004.2836261857713</v>
      </c>
      <c r="I24" s="316">
        <f t="shared" si="12"/>
        <v>9788.2675578409289</v>
      </c>
      <c r="J24" s="316">
        <f t="shared" si="12"/>
        <v>444.44780919579301</v>
      </c>
      <c r="K24" s="316">
        <f t="shared" si="12"/>
        <v>2118.3803982479712</v>
      </c>
      <c r="L24" s="317">
        <f>+'[2]Annex-VIII'!H40</f>
        <v>69455.297105300007</v>
      </c>
      <c r="M24" s="318">
        <f t="shared" si="8"/>
        <v>8.9009999646805227E-4</v>
      </c>
      <c r="O24" s="321"/>
    </row>
    <row r="25" spans="1:15" ht="15.75" thickBot="1">
      <c r="A25" s="322"/>
      <c r="B25" s="313" t="s">
        <v>686</v>
      </c>
      <c r="C25" s="323">
        <f>SUM(C20:C24)</f>
        <v>89946.061285294825</v>
      </c>
      <c r="D25" s="323">
        <f t="shared" ref="D25:L25" si="13">SUM(D20:D24)</f>
        <v>30632.209629692112</v>
      </c>
      <c r="E25" s="323">
        <f t="shared" si="13"/>
        <v>96604.462308448128</v>
      </c>
      <c r="F25" s="323">
        <f t="shared" si="13"/>
        <v>396.82003272846941</v>
      </c>
      <c r="G25" s="323">
        <f t="shared" si="13"/>
        <v>28333.191486189629</v>
      </c>
      <c r="H25" s="323">
        <f t="shared" si="13"/>
        <v>9782.4858276832601</v>
      </c>
      <c r="I25" s="323">
        <f t="shared" si="13"/>
        <v>47534.184104850414</v>
      </c>
      <c r="J25" s="323">
        <f t="shared" si="13"/>
        <v>1925.9506409002036</v>
      </c>
      <c r="K25" s="323">
        <f t="shared" si="13"/>
        <v>4065.8968656129864</v>
      </c>
      <c r="L25" s="324">
        <f t="shared" si="13"/>
        <v>309221.26218140003</v>
      </c>
      <c r="M25" s="318">
        <f t="shared" si="8"/>
        <v>3.3388000447303057E-3</v>
      </c>
      <c r="N25" s="320"/>
    </row>
    <row r="26" spans="1:15">
      <c r="L26" s="321"/>
    </row>
    <row r="29" spans="1:15" hidden="1"/>
    <row r="30" spans="1:15" ht="15" hidden="1">
      <c r="A30" s="301"/>
      <c r="B30" s="299"/>
      <c r="C30" s="299" t="s">
        <v>692</v>
      </c>
      <c r="D30" s="299"/>
      <c r="E30" s="299"/>
      <c r="F30" s="301"/>
      <c r="G30" s="301"/>
      <c r="H30" s="301"/>
      <c r="I30" s="301"/>
    </row>
    <row r="31" spans="1:15" ht="15" hidden="1">
      <c r="A31" s="301"/>
      <c r="B31" s="299"/>
      <c r="C31" s="299" t="s">
        <v>294</v>
      </c>
      <c r="D31" s="299"/>
      <c r="E31" s="299"/>
      <c r="F31" s="301"/>
      <c r="G31" s="301"/>
      <c r="H31" s="301"/>
      <c r="I31" s="301"/>
    </row>
    <row r="32" spans="1:15" ht="15" hidden="1">
      <c r="A32" s="301" t="s">
        <v>693</v>
      </c>
      <c r="B32" s="299"/>
      <c r="C32" s="299" t="s">
        <v>694</v>
      </c>
      <c r="D32" s="299" t="s">
        <v>695</v>
      </c>
      <c r="E32" s="299" t="s">
        <v>690</v>
      </c>
      <c r="F32" s="301"/>
      <c r="G32" s="301"/>
      <c r="H32" s="301"/>
      <c r="I32" s="301"/>
    </row>
    <row r="33" spans="1:9" ht="15">
      <c r="A33" s="301"/>
      <c r="B33" s="299" t="s">
        <v>696</v>
      </c>
      <c r="C33" s="325">
        <v>3031917802.3400002</v>
      </c>
      <c r="D33" s="299">
        <v>3039829699</v>
      </c>
      <c r="E33" s="299">
        <f>+D33-C33</f>
        <v>7911896.6599998474</v>
      </c>
      <c r="F33" s="301"/>
      <c r="G33" s="301"/>
      <c r="H33" s="301"/>
      <c r="I33" s="301"/>
    </row>
    <row r="34" spans="1:9" ht="15">
      <c r="A34" s="301"/>
      <c r="B34" s="299" t="s">
        <v>697</v>
      </c>
      <c r="C34" s="325">
        <v>2185485994.5799999</v>
      </c>
      <c r="D34" s="299">
        <v>2192275601</v>
      </c>
      <c r="E34" s="299">
        <f>+D34-C34</f>
        <v>6789606.4200000763</v>
      </c>
      <c r="F34" s="301"/>
      <c r="G34" s="301"/>
      <c r="H34" s="301"/>
      <c r="I34" s="301"/>
    </row>
    <row r="35" spans="1:9" ht="15">
      <c r="A35" s="301"/>
      <c r="B35" s="629" t="s">
        <v>698</v>
      </c>
      <c r="C35" s="629"/>
      <c r="D35" s="629"/>
      <c r="E35" s="299">
        <f>+E33+E34</f>
        <v>14701503.079999924</v>
      </c>
      <c r="F35" s="301" t="s">
        <v>699</v>
      </c>
      <c r="G35" s="301"/>
      <c r="H35" s="301"/>
      <c r="I35" s="301"/>
    </row>
    <row r="36" spans="1:9" ht="15">
      <c r="A36" s="301"/>
      <c r="B36" s="299"/>
      <c r="C36" s="299"/>
      <c r="D36" s="299"/>
      <c r="E36" s="299">
        <f>+E35/10^5</f>
        <v>147.01503079999924</v>
      </c>
      <c r="F36" s="301"/>
      <c r="G36" s="301"/>
      <c r="H36" s="301"/>
      <c r="I36" s="301"/>
    </row>
    <row r="37" spans="1:9">
      <c r="A37" s="301"/>
      <c r="B37" s="301"/>
      <c r="C37" s="301"/>
      <c r="D37" s="301"/>
      <c r="E37" s="301"/>
      <c r="F37" s="301"/>
      <c r="G37" s="301"/>
      <c r="H37" s="301"/>
      <c r="I37" s="301"/>
    </row>
    <row r="38" spans="1:9">
      <c r="A38" s="301"/>
      <c r="B38" s="301"/>
      <c r="C38" s="301" t="s">
        <v>61</v>
      </c>
      <c r="D38" s="301"/>
      <c r="E38" s="301"/>
      <c r="F38" s="301"/>
      <c r="G38" s="301"/>
      <c r="H38" s="301"/>
      <c r="I38" s="301"/>
    </row>
    <row r="39" spans="1:9">
      <c r="A39" s="301" t="s">
        <v>700</v>
      </c>
      <c r="B39" s="301" t="s">
        <v>701</v>
      </c>
      <c r="C39" s="301"/>
      <c r="D39" s="301"/>
      <c r="E39" s="301"/>
      <c r="F39" s="301"/>
      <c r="G39" s="301"/>
      <c r="H39" s="301"/>
      <c r="I39" s="301"/>
    </row>
    <row r="40" spans="1:9">
      <c r="A40" s="301"/>
      <c r="B40" s="301"/>
      <c r="C40" s="301"/>
      <c r="D40" s="301"/>
      <c r="E40" s="301"/>
      <c r="F40" s="301"/>
      <c r="G40" s="301"/>
      <c r="H40" s="301"/>
      <c r="I40" s="301"/>
    </row>
    <row r="41" spans="1:9">
      <c r="A41" s="301"/>
      <c r="B41" s="301"/>
      <c r="C41" s="301"/>
      <c r="D41" s="301"/>
      <c r="E41" s="301"/>
      <c r="F41" s="301"/>
      <c r="G41" s="301"/>
      <c r="H41" s="301"/>
      <c r="I41" s="301"/>
    </row>
    <row r="42" spans="1:9" ht="15">
      <c r="A42" s="301" t="s">
        <v>702</v>
      </c>
      <c r="B42" s="301"/>
      <c r="C42" s="299" t="s">
        <v>60</v>
      </c>
      <c r="D42" s="301"/>
      <c r="E42" s="301"/>
      <c r="F42" s="301"/>
      <c r="G42" s="301"/>
      <c r="H42" s="301"/>
      <c r="I42" s="301"/>
    </row>
    <row r="43" spans="1:9" ht="15">
      <c r="A43" s="301"/>
      <c r="B43" s="299"/>
      <c r="C43" s="299" t="s">
        <v>694</v>
      </c>
      <c r="D43" s="299" t="s">
        <v>695</v>
      </c>
      <c r="E43" s="299" t="s">
        <v>690</v>
      </c>
      <c r="F43" s="301"/>
      <c r="G43" s="301"/>
      <c r="H43" s="301"/>
      <c r="I43" s="301"/>
    </row>
    <row r="44" spans="1:9" ht="15">
      <c r="A44" s="301"/>
      <c r="B44" s="299" t="s">
        <v>696</v>
      </c>
      <c r="C44" s="300">
        <v>4637813896.3999996</v>
      </c>
      <c r="D44" s="299">
        <v>4701732284.21</v>
      </c>
      <c r="E44" s="299">
        <f>+D44-C44</f>
        <v>63918387.81000042</v>
      </c>
      <c r="F44" s="301"/>
      <c r="G44" s="301"/>
      <c r="H44" s="301"/>
      <c r="I44" s="301"/>
    </row>
    <row r="45" spans="1:9" ht="15">
      <c r="A45" s="301"/>
      <c r="B45" s="299" t="s">
        <v>697</v>
      </c>
      <c r="C45" s="300">
        <v>2544279006.3499999</v>
      </c>
      <c r="D45" s="299">
        <v>2544562006.3499999</v>
      </c>
      <c r="E45" s="299">
        <f>+D45-C45</f>
        <v>283000</v>
      </c>
      <c r="F45" s="301"/>
      <c r="G45" s="301"/>
      <c r="H45" s="301"/>
      <c r="I45" s="301"/>
    </row>
    <row r="46" spans="1:9">
      <c r="A46" s="301"/>
      <c r="B46" s="301"/>
      <c r="C46" s="301"/>
      <c r="D46" s="301"/>
      <c r="E46" s="301">
        <f>SUM(E44:E45)</f>
        <v>64201387.81000042</v>
      </c>
      <c r="F46" s="301"/>
      <c r="G46" s="301"/>
      <c r="H46" s="301"/>
      <c r="I46" s="301"/>
    </row>
    <row r="47" spans="1:9">
      <c r="A47" s="301"/>
      <c r="B47" s="301"/>
      <c r="C47" s="301"/>
      <c r="D47" s="301"/>
      <c r="E47" s="301">
        <f>+E46/10^5</f>
        <v>642.01387810000415</v>
      </c>
      <c r="F47" s="301" t="s">
        <v>703</v>
      </c>
      <c r="G47" s="301"/>
      <c r="H47" s="301"/>
      <c r="I47" s="301"/>
    </row>
  </sheetData>
  <mergeCells count="5">
    <mergeCell ref="B1:C1"/>
    <mergeCell ref="A4:A8"/>
    <mergeCell ref="A11:A16"/>
    <mergeCell ref="A19:A24"/>
    <mergeCell ref="B35:D3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65"/>
  <sheetViews>
    <sheetView tabSelected="1" topLeftCell="A18" workbookViewId="0">
      <selection activeCell="S9" sqref="S9"/>
    </sheetView>
  </sheetViews>
  <sheetFormatPr defaultColWidth="8.83203125" defaultRowHeight="12.75"/>
  <cols>
    <col min="1" max="1" width="6.33203125" style="398" customWidth="1"/>
    <col min="2" max="2" width="34.1640625" style="398" customWidth="1"/>
    <col min="3" max="15" width="8.5" style="398" customWidth="1"/>
    <col min="16" max="16" width="2.6640625" style="398" customWidth="1"/>
    <col min="17" max="17" width="10" style="398" bestFit="1" customWidth="1"/>
    <col min="18" max="18" width="14.6640625" style="398" bestFit="1" customWidth="1"/>
    <col min="19" max="33" width="8.83203125" style="398"/>
    <col min="34" max="34" width="9.33203125" style="398" customWidth="1"/>
    <col min="35" max="16384" width="8.83203125" style="398"/>
  </cols>
  <sheetData>
    <row r="1" spans="1:15">
      <c r="D1" s="399"/>
      <c r="N1" s="399" t="s">
        <v>935</v>
      </c>
    </row>
    <row r="2" spans="1:15">
      <c r="A2" s="400" t="s">
        <v>936</v>
      </c>
      <c r="B2" s="401"/>
      <c r="C2" s="401"/>
      <c r="D2" s="402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4"/>
    </row>
    <row r="3" spans="1:15">
      <c r="A3" s="400" t="s">
        <v>937</v>
      </c>
      <c r="B3" s="401"/>
      <c r="C3" s="401"/>
      <c r="D3" s="402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4"/>
    </row>
    <row r="4" spans="1:15">
      <c r="A4" s="400" t="s">
        <v>938</v>
      </c>
      <c r="B4" s="401"/>
      <c r="C4" s="401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6"/>
    </row>
    <row r="5" spans="1:15">
      <c r="A5" s="400" t="s">
        <v>939</v>
      </c>
      <c r="B5" s="401"/>
      <c r="C5" s="401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6"/>
    </row>
    <row r="6" spans="1:15">
      <c r="A6" s="400" t="s">
        <v>940</v>
      </c>
      <c r="B6" s="401"/>
      <c r="C6" s="401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6"/>
    </row>
    <row r="7" spans="1:15">
      <c r="A7" s="632" t="s">
        <v>941</v>
      </c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4"/>
    </row>
    <row r="8" spans="1:15">
      <c r="A8" s="407"/>
      <c r="B8" s="407"/>
      <c r="C8" s="408" t="s">
        <v>942</v>
      </c>
      <c r="D8" s="408" t="s">
        <v>943</v>
      </c>
      <c r="E8" s="408" t="s">
        <v>944</v>
      </c>
      <c r="F8" s="409" t="s">
        <v>945</v>
      </c>
      <c r="G8" s="409" t="s">
        <v>946</v>
      </c>
      <c r="H8" s="409" t="s">
        <v>291</v>
      </c>
      <c r="I8" s="409" t="s">
        <v>947</v>
      </c>
      <c r="J8" s="409" t="s">
        <v>948</v>
      </c>
      <c r="K8" s="409" t="s">
        <v>294</v>
      </c>
      <c r="L8" s="409" t="s">
        <v>295</v>
      </c>
      <c r="M8" s="409" t="s">
        <v>296</v>
      </c>
      <c r="N8" s="409" t="s">
        <v>60</v>
      </c>
      <c r="O8" s="409" t="s">
        <v>61</v>
      </c>
    </row>
    <row r="9" spans="1:15">
      <c r="A9" s="410">
        <v>1</v>
      </c>
      <c r="B9" s="411" t="s">
        <v>949</v>
      </c>
      <c r="C9" s="635" t="s">
        <v>5</v>
      </c>
      <c r="D9" s="636"/>
      <c r="E9" s="637"/>
      <c r="F9" s="412">
        <v>69.215000000000003</v>
      </c>
      <c r="G9" s="413">
        <v>66.763999999999996</v>
      </c>
      <c r="H9" s="413">
        <v>77.781000000000006</v>
      </c>
      <c r="I9" s="414">
        <v>72.882000000000005</v>
      </c>
      <c r="J9" s="414">
        <v>74.531999999999996</v>
      </c>
      <c r="K9" s="414">
        <v>75.751999999999995</v>
      </c>
      <c r="L9" s="414">
        <v>77.739999999999995</v>
      </c>
      <c r="M9" s="414">
        <v>67.738</v>
      </c>
      <c r="N9" s="414">
        <v>58.917000000000002</v>
      </c>
      <c r="O9" s="414">
        <v>71.385999999999996</v>
      </c>
    </row>
    <row r="10" spans="1:15">
      <c r="A10" s="410">
        <v>2</v>
      </c>
      <c r="B10" s="91" t="s">
        <v>950</v>
      </c>
      <c r="C10" s="415">
        <v>81.03</v>
      </c>
      <c r="D10" s="415">
        <v>75.92</v>
      </c>
      <c r="E10" s="415">
        <v>75.89</v>
      </c>
      <c r="F10" s="416">
        <v>69.093000000000004</v>
      </c>
      <c r="G10" s="413">
        <v>66.754000000000005</v>
      </c>
      <c r="H10" s="413">
        <v>77.671000000000006</v>
      </c>
      <c r="I10" s="414">
        <v>72.850999999999999</v>
      </c>
      <c r="J10" s="414">
        <v>74.531999999999996</v>
      </c>
      <c r="K10" s="414">
        <v>75.751999999999995</v>
      </c>
      <c r="L10" s="414">
        <v>77.716999999999999</v>
      </c>
      <c r="M10" s="414">
        <v>67.725999999999999</v>
      </c>
      <c r="N10" s="414">
        <v>58.917000000000002</v>
      </c>
      <c r="O10" s="414">
        <v>71.385999999999996</v>
      </c>
    </row>
    <row r="11" spans="1:15">
      <c r="A11" s="410">
        <v>3</v>
      </c>
      <c r="B11" s="411" t="s">
        <v>951</v>
      </c>
      <c r="C11" s="638" t="s">
        <v>5</v>
      </c>
      <c r="D11" s="639"/>
      <c r="E11" s="640"/>
      <c r="F11" s="417">
        <v>2916.0985398622888</v>
      </c>
      <c r="G11" s="418">
        <v>2809.685111470937</v>
      </c>
      <c r="H11" s="418">
        <v>3269.1550905788772</v>
      </c>
      <c r="I11" s="418">
        <v>3066.283287936636</v>
      </c>
      <c r="J11" s="418">
        <v>3145.6576091072725</v>
      </c>
      <c r="K11" s="418">
        <v>3188.4150188750536</v>
      </c>
      <c r="L11" s="418">
        <v>3271.1025</v>
      </c>
      <c r="M11" s="418">
        <v>2850.5715</v>
      </c>
      <c r="N11" s="418">
        <v>2486.5950471126143</v>
      </c>
      <c r="O11" s="418">
        <v>3004.6253953573005</v>
      </c>
    </row>
    <row r="12" spans="1:15">
      <c r="A12" s="410">
        <v>4</v>
      </c>
      <c r="B12" s="411" t="s">
        <v>952</v>
      </c>
      <c r="C12" s="635" t="s">
        <v>5</v>
      </c>
      <c r="D12" s="636"/>
      <c r="E12" s="637"/>
      <c r="F12" s="417">
        <v>2916.0985398622888</v>
      </c>
      <c r="G12" s="417">
        <v>2809.685111470937</v>
      </c>
      <c r="H12" s="417">
        <v>3269.1550905788772</v>
      </c>
      <c r="I12" s="417">
        <v>3066.283287936636</v>
      </c>
      <c r="J12" s="417">
        <v>3145.6576091072725</v>
      </c>
      <c r="K12" s="417">
        <v>3188.4150188750536</v>
      </c>
      <c r="L12" s="417">
        <v>3271.1025</v>
      </c>
      <c r="M12" s="417">
        <v>2850.5715</v>
      </c>
      <c r="N12" s="417">
        <v>2486.5950471126143</v>
      </c>
      <c r="O12" s="417">
        <v>3004.6253953573005</v>
      </c>
    </row>
    <row r="13" spans="1:15">
      <c r="A13" s="410">
        <v>5</v>
      </c>
      <c r="B13" s="419" t="s">
        <v>953</v>
      </c>
      <c r="C13" s="415">
        <v>3467</v>
      </c>
      <c r="D13" s="415">
        <v>3229</v>
      </c>
      <c r="E13" s="415">
        <v>3193.4290000000001</v>
      </c>
      <c r="F13" s="420">
        <v>2920.5459209410487</v>
      </c>
      <c r="G13" s="417">
        <v>2834.837258891449</v>
      </c>
      <c r="H13" s="417">
        <v>3301.1037980253109</v>
      </c>
      <c r="I13" s="417">
        <v>3089.6302048636576</v>
      </c>
      <c r="J13" s="417">
        <v>3172.8758389872246</v>
      </c>
      <c r="K13" s="417">
        <v>3216.5846120020083</v>
      </c>
      <c r="L13" s="417">
        <v>3277.8348040000001</v>
      </c>
      <c r="M13" s="417">
        <v>2876.1897631313591</v>
      </c>
      <c r="N13" s="417">
        <v>2472.4298434105826</v>
      </c>
      <c r="O13" s="417">
        <v>2968.0801101542343</v>
      </c>
    </row>
    <row r="14" spans="1:15" ht="25.5">
      <c r="A14" s="410">
        <v>6</v>
      </c>
      <c r="B14" s="421" t="s">
        <v>954</v>
      </c>
      <c r="C14" s="422">
        <v>6103319</v>
      </c>
      <c r="D14" s="422">
        <v>5731242</v>
      </c>
      <c r="E14" s="422">
        <v>5755178</v>
      </c>
      <c r="F14" s="423">
        <v>5298456.8279999997</v>
      </c>
      <c r="G14" s="424">
        <v>5117618.324</v>
      </c>
      <c r="H14" s="423">
        <v>5932871.557</v>
      </c>
      <c r="I14" s="423">
        <v>5635041.5600000005</v>
      </c>
      <c r="J14" s="423">
        <v>5885314.9600000009</v>
      </c>
      <c r="K14" s="423">
        <v>5871091.8300000001</v>
      </c>
      <c r="L14" s="423">
        <v>5930488.0795999998</v>
      </c>
      <c r="M14" s="423">
        <v>5330712.96</v>
      </c>
      <c r="N14" s="423">
        <v>4862307.38</v>
      </c>
      <c r="O14" s="423">
        <v>5782495.0099999998</v>
      </c>
    </row>
    <row r="15" spans="1:15">
      <c r="A15" s="410">
        <v>7</v>
      </c>
      <c r="B15" s="91" t="s">
        <v>955</v>
      </c>
      <c r="C15" s="425">
        <v>49314.817519999997</v>
      </c>
      <c r="D15" s="425">
        <v>39087.070440000003</v>
      </c>
      <c r="E15" s="425">
        <v>40056.03888</v>
      </c>
      <c r="F15" s="425">
        <v>40162.302756239995</v>
      </c>
      <c r="G15" s="425">
        <v>47440.321863479992</v>
      </c>
      <c r="H15" s="425">
        <v>68939.967492340002</v>
      </c>
      <c r="I15" s="425">
        <v>68972.908694400001</v>
      </c>
      <c r="J15" s="425">
        <v>76214.828732000009</v>
      </c>
      <c r="K15" s="425">
        <v>82841.105721300002</v>
      </c>
      <c r="L15" s="425">
        <v>90380.638333103998</v>
      </c>
      <c r="M15" s="425">
        <v>102189.76744319999</v>
      </c>
      <c r="N15" s="425">
        <v>113680.74654440001</v>
      </c>
      <c r="O15" s="425">
        <v>151270.06946160001</v>
      </c>
    </row>
    <row r="16" spans="1:15" ht="25.5">
      <c r="A16" s="410">
        <v>8</v>
      </c>
      <c r="B16" s="421" t="s">
        <v>956</v>
      </c>
      <c r="C16" s="426">
        <f>C14/1000/4259.054423</f>
        <v>1.4330220734068326</v>
      </c>
      <c r="D16" s="426">
        <f>D14/1000/3990.193529</f>
        <v>1.4363318366255613</v>
      </c>
      <c r="E16" s="427">
        <f>E14/3989027.921</f>
        <v>1.4427519972227338</v>
      </c>
      <c r="F16" s="427">
        <v>1.4432381441148459</v>
      </c>
      <c r="G16" s="427">
        <v>1.4307028366819532</v>
      </c>
      <c r="H16" s="427">
        <v>1.4419058070410111</v>
      </c>
      <c r="I16" s="427">
        <v>1.4528149636575012</v>
      </c>
      <c r="J16" s="427">
        <v>1.4757928613990678</v>
      </c>
      <c r="K16" s="427">
        <v>1.4549922333365084</v>
      </c>
      <c r="L16" s="427">
        <v>1.4612144969129766</v>
      </c>
      <c r="M16" s="427">
        <v>1.4679963447649069</v>
      </c>
      <c r="N16" s="427">
        <v>1.5382262645369318</v>
      </c>
      <c r="O16" s="427">
        <v>1.5643036737034879</v>
      </c>
    </row>
    <row r="17" spans="1:23" ht="25.5">
      <c r="A17" s="410">
        <v>9</v>
      </c>
      <c r="B17" s="421" t="s">
        <v>957</v>
      </c>
      <c r="C17" s="417">
        <v>2755.68</v>
      </c>
      <c r="D17" s="417">
        <v>2753.51</v>
      </c>
      <c r="E17" s="417">
        <v>2692</v>
      </c>
      <c r="F17" s="417">
        <v>2687.1391610431342</v>
      </c>
      <c r="G17" s="417">
        <v>2726.1158333333333</v>
      </c>
      <c r="H17" s="417">
        <v>2718.5450000000001</v>
      </c>
      <c r="I17" s="417">
        <v>2700.4554445321692</v>
      </c>
      <c r="J17" s="417">
        <v>2673.77</v>
      </c>
      <c r="K17" s="417">
        <v>2670.09</v>
      </c>
      <c r="L17" s="417">
        <v>2663.7068010621883</v>
      </c>
      <c r="M17" s="417">
        <v>2675.0040653292413</v>
      </c>
      <c r="N17" s="417">
        <v>2658</v>
      </c>
      <c r="O17" s="417">
        <v>2568.5060042921577</v>
      </c>
    </row>
    <row r="18" spans="1:23" ht="25.5">
      <c r="A18" s="410">
        <v>10</v>
      </c>
      <c r="B18" s="421" t="s">
        <v>958</v>
      </c>
      <c r="C18" s="424">
        <f>C17*C16</f>
        <v>3948.9502672457402</v>
      </c>
      <c r="D18" s="424">
        <f>D17*D16</f>
        <v>3954.9540754668496</v>
      </c>
      <c r="E18" s="424">
        <f>E17*E16</f>
        <v>3883.8883765235996</v>
      </c>
      <c r="F18" s="424">
        <v>3878.1817357622172</v>
      </c>
      <c r="G18" s="424">
        <v>3900.2616558735867</v>
      </c>
      <c r="H18" s="424">
        <v>3919.8858222023059</v>
      </c>
      <c r="I18" s="424">
        <v>3923</v>
      </c>
      <c r="J18" s="424">
        <v>3945.9306790229857</v>
      </c>
      <c r="K18" s="424">
        <v>3884.9602123094774</v>
      </c>
      <c r="L18" s="424">
        <v>3892.2469932377594</v>
      </c>
      <c r="M18" s="424">
        <v>3926.8961901345929</v>
      </c>
      <c r="N18" s="424">
        <v>4088.6054111391641</v>
      </c>
      <c r="O18" s="424">
        <v>4017.9233784436892</v>
      </c>
    </row>
    <row r="19" spans="1:23" ht="38.25">
      <c r="A19" s="410">
        <v>11</v>
      </c>
      <c r="B19" s="419" t="s">
        <v>959</v>
      </c>
      <c r="C19" s="425">
        <v>1.1842164599774521</v>
      </c>
      <c r="D19" s="425">
        <v>0.98803863298662697</v>
      </c>
      <c r="E19" s="425">
        <v>1.0042175360710321</v>
      </c>
      <c r="F19" s="425">
        <v>1.0952945535383474</v>
      </c>
      <c r="G19" s="425">
        <v>1.3484893696381945</v>
      </c>
      <c r="H19" s="425">
        <v>1.7214814814814814</v>
      </c>
      <c r="I19" s="425">
        <v>1.8426797139631161</v>
      </c>
      <c r="J19" s="425">
        <v>1.9532428355957765</v>
      </c>
      <c r="K19" s="425">
        <v>2.0788213627992631</v>
      </c>
      <c r="L19" s="425">
        <v>2.3029845107669056</v>
      </c>
      <c r="M19" s="425">
        <v>2.9166983643971087</v>
      </c>
      <c r="N19" s="425">
        <v>3.5613099771515619</v>
      </c>
      <c r="O19" s="425">
        <v>4.0168905950095981</v>
      </c>
      <c r="W19" s="428"/>
    </row>
    <row r="20" spans="1:23">
      <c r="A20" s="410">
        <v>12</v>
      </c>
      <c r="B20" s="421" t="s">
        <v>960</v>
      </c>
      <c r="C20" s="429">
        <f>166.5594+10799.8281+1945.9312</f>
        <v>12912.3187</v>
      </c>
      <c r="D20" s="430">
        <f>2007.771+11600.8589+207.7649</f>
        <v>13816.3948</v>
      </c>
      <c r="E20" s="430">
        <f>13413.8618+271.9512</f>
        <v>13685.813</v>
      </c>
      <c r="F20" s="431">
        <v>10802.189000000002</v>
      </c>
      <c r="G20" s="430">
        <v>8149.9408999999996</v>
      </c>
      <c r="H20" s="430">
        <v>5001.3483999999999</v>
      </c>
      <c r="I20" s="430">
        <v>8114.7165999999997</v>
      </c>
      <c r="J20" s="430">
        <v>5301.9953000000005</v>
      </c>
      <c r="K20" s="430">
        <v>4919.4079000000002</v>
      </c>
      <c r="L20" s="430">
        <v>4027.7098000000001</v>
      </c>
      <c r="M20" s="430">
        <v>6452.4511000000002</v>
      </c>
      <c r="N20" s="430">
        <v>9036.3503000000001</v>
      </c>
      <c r="O20" s="430">
        <v>8244.5887000000002</v>
      </c>
    </row>
    <row r="21" spans="1:23">
      <c r="A21" s="410">
        <v>13</v>
      </c>
      <c r="B21" s="91" t="s">
        <v>961</v>
      </c>
      <c r="C21" s="425">
        <v>1743.7339999999999</v>
      </c>
      <c r="D21" s="425">
        <v>2417.4096997000001</v>
      </c>
      <c r="E21" s="425">
        <v>2704.3158106999999</v>
      </c>
      <c r="F21" s="425">
        <v>2423.5068100999997</v>
      </c>
      <c r="G21" s="425">
        <v>2522.8234838999997</v>
      </c>
      <c r="H21" s="425">
        <v>1229.82</v>
      </c>
      <c r="I21" s="425">
        <v>2476.8474218000001</v>
      </c>
      <c r="J21" s="425">
        <v>2102.6702034</v>
      </c>
      <c r="K21" s="425">
        <v>2395.14</v>
      </c>
      <c r="L21" s="425">
        <v>1964</v>
      </c>
      <c r="M21" s="425">
        <v>2988.2640569</v>
      </c>
      <c r="N21" s="425">
        <v>2341.3830535000002</v>
      </c>
      <c r="O21" s="425">
        <v>2111.9560916999999</v>
      </c>
    </row>
    <row r="22" spans="1:23" ht="25.5">
      <c r="A22" s="410">
        <v>14</v>
      </c>
      <c r="B22" s="421" t="s">
        <v>962</v>
      </c>
      <c r="C22" s="418">
        <v>9100.2000000000007</v>
      </c>
      <c r="D22" s="418">
        <v>9100.2000000000007</v>
      </c>
      <c r="E22" s="418">
        <v>9100.2000000000007</v>
      </c>
      <c r="F22" s="418">
        <v>9100.2000000000007</v>
      </c>
      <c r="G22" s="418">
        <v>9100.2000000000007</v>
      </c>
      <c r="H22" s="418">
        <v>9100.2000000000007</v>
      </c>
      <c r="I22" s="418">
        <v>9100.2000000000007</v>
      </c>
      <c r="J22" s="418">
        <v>9100.2000000000007</v>
      </c>
      <c r="K22" s="418">
        <v>9731.6625603842749</v>
      </c>
      <c r="L22" s="418">
        <v>9658.9653637583306</v>
      </c>
      <c r="M22" s="418">
        <v>9596.8183922602584</v>
      </c>
      <c r="N22" s="418">
        <v>9683.6464261777874</v>
      </c>
      <c r="O22" s="418">
        <v>9484.1469175270558</v>
      </c>
    </row>
    <row r="23" spans="1:23">
      <c r="A23" s="410">
        <v>15</v>
      </c>
      <c r="B23" s="421" t="s">
        <v>963</v>
      </c>
      <c r="C23" s="432">
        <v>3.032</v>
      </c>
      <c r="D23" s="432">
        <f>D20/3990.193529</f>
        <v>3.4625876413223966</v>
      </c>
      <c r="E23" s="432">
        <f>E20/3989.027921</f>
        <v>3.4308641782003715</v>
      </c>
      <c r="F23" s="432">
        <v>2.9423909094343972</v>
      </c>
      <c r="G23" s="432">
        <v>2.2784312281590733</v>
      </c>
      <c r="H23" s="432">
        <v>1.2155115431979466</v>
      </c>
      <c r="I23" s="432">
        <v>2.0921197430777068</v>
      </c>
      <c r="J23" s="432">
        <v>1.3294835261619184</v>
      </c>
      <c r="K23" s="432">
        <v>1.2191429626248977</v>
      </c>
      <c r="L23" s="432">
        <v>0.99238846282537685</v>
      </c>
      <c r="M23" s="432">
        <v>1.7769057723892723</v>
      </c>
      <c r="N23" s="432">
        <v>2.8587150668817203</v>
      </c>
      <c r="O23" s="432">
        <v>2.2303591043798003</v>
      </c>
    </row>
    <row r="24" spans="1:23" ht="38.25">
      <c r="A24" s="410">
        <v>16</v>
      </c>
      <c r="B24" s="419" t="s">
        <v>964</v>
      </c>
      <c r="C24" s="425">
        <v>4.0513265831953173E-2</v>
      </c>
      <c r="D24" s="425">
        <v>5.2490025104812446E-2</v>
      </c>
      <c r="E24" s="425">
        <v>5.9279981628420617E-2</v>
      </c>
      <c r="F24" s="425">
        <v>6.7305991686499811E-2</v>
      </c>
      <c r="G24" s="425">
        <v>9.2865341535176033E-2</v>
      </c>
      <c r="H24" s="425">
        <v>8.6064190209184391E-2</v>
      </c>
      <c r="I24" s="425">
        <v>0.106830175391461</v>
      </c>
      <c r="J24" s="425">
        <v>0.13880332394674133</v>
      </c>
      <c r="K24" s="425">
        <v>0.1704064832680372</v>
      </c>
      <c r="L24" s="425">
        <v>0.1706677079863102</v>
      </c>
      <c r="M24" s="425">
        <v>6.9468113990821256E-2</v>
      </c>
      <c r="N24" s="425">
        <v>3.8866073842334335E-2</v>
      </c>
      <c r="O24" s="425">
        <v>3.8424404816579869E-2</v>
      </c>
    </row>
    <row r="25" spans="1:23" ht="25.5">
      <c r="A25" s="410">
        <v>17</v>
      </c>
      <c r="B25" s="421" t="s">
        <v>965</v>
      </c>
      <c r="C25" s="418">
        <f>C20*C22/4259.054423/1000</f>
        <v>27.589382751059532</v>
      </c>
      <c r="D25" s="418">
        <f>D20*D22/3990.193529/1000</f>
        <v>31.510240053562075</v>
      </c>
      <c r="E25" s="418">
        <f>E20*E22/3989.027921/1000</f>
        <v>31.22155019445902</v>
      </c>
      <c r="F25" s="418">
        <f>F20*F22/3671.228/1000</f>
        <v>26.77634849641592</v>
      </c>
      <c r="G25" s="418">
        <f>G20*G22/3576.996663/1000</f>
        <v>20.73417986249321</v>
      </c>
      <c r="H25" s="418">
        <f>H20*H22/4114.603788/1000</f>
        <v>11.061398145409962</v>
      </c>
      <c r="I25" s="418">
        <f>I20*I22/3878.705617/1000</f>
        <v>19.038708088508177</v>
      </c>
      <c r="J25" s="418">
        <f>J20*J22/3987.900412/1000</f>
        <v>12.098902340658553</v>
      </c>
      <c r="K25" s="418">
        <f>K20*K22/4035.136199/1000</f>
        <v>11.864287924544634</v>
      </c>
      <c r="L25" s="418">
        <f>L20*L22/4058.602/1000</f>
        <v>9.5854457898236873</v>
      </c>
      <c r="M25" s="418">
        <f>M20*M22/3631.2849/1000</f>
        <v>17.052641997778785</v>
      </c>
      <c r="N25" s="418">
        <f>N20*N22/3160.9832/1000</f>
        <v>27.682785940869785</v>
      </c>
      <c r="O25" s="418">
        <f>O20*O22/3696.529713/1000</f>
        <v>21.15305342478209</v>
      </c>
    </row>
    <row r="26" spans="1:23">
      <c r="A26" s="410">
        <v>18</v>
      </c>
      <c r="B26" s="411" t="s">
        <v>966</v>
      </c>
      <c r="C26" s="417">
        <f>C25+C18</f>
        <v>3976.5396499967997</v>
      </c>
      <c r="D26" s="417">
        <f>D25+D18</f>
        <v>3986.4643155204117</v>
      </c>
      <c r="E26" s="417">
        <f>E25+E18</f>
        <v>3915.1099267180584</v>
      </c>
      <c r="F26" s="417">
        <f>F25+F18</f>
        <v>3904.9580842586329</v>
      </c>
      <c r="G26" s="417">
        <f>G25+G18</f>
        <v>3920.9958357360802</v>
      </c>
      <c r="H26" s="417">
        <f t="shared" ref="H26:O26" si="0">H25+H18</f>
        <v>3930.9472203477158</v>
      </c>
      <c r="I26" s="417">
        <f t="shared" si="0"/>
        <v>3942.038708088508</v>
      </c>
      <c r="J26" s="417">
        <f t="shared" si="0"/>
        <v>3958.0295813636444</v>
      </c>
      <c r="K26" s="417">
        <f t="shared" si="0"/>
        <v>3896.8245002340218</v>
      </c>
      <c r="L26" s="417">
        <f t="shared" si="0"/>
        <v>3901.832439027583</v>
      </c>
      <c r="M26" s="417">
        <f t="shared" si="0"/>
        <v>3943.9488321323715</v>
      </c>
      <c r="N26" s="417">
        <f t="shared" si="0"/>
        <v>4116.2881970800336</v>
      </c>
      <c r="O26" s="417">
        <f t="shared" si="0"/>
        <v>4039.0764318684714</v>
      </c>
    </row>
    <row r="27" spans="1:23" ht="25.5">
      <c r="A27" s="410">
        <v>19</v>
      </c>
      <c r="B27" s="421" t="s">
        <v>967</v>
      </c>
      <c r="C27" s="433">
        <v>11.41</v>
      </c>
      <c r="D27" s="433">
        <v>11.27</v>
      </c>
      <c r="E27" s="433">
        <v>11.55</v>
      </c>
      <c r="F27" s="433">
        <v>11.887716676957828</v>
      </c>
      <c r="G27" s="433">
        <v>12.202205295682155</v>
      </c>
      <c r="H27" s="433">
        <v>11.770091555599398</v>
      </c>
      <c r="I27" s="433">
        <v>12.325532497285053</v>
      </c>
      <c r="J27" s="433">
        <v>11.969882507014599</v>
      </c>
      <c r="K27" s="433">
        <v>11.548102071541152</v>
      </c>
      <c r="L27" s="433">
        <v>11.423408492626772</v>
      </c>
      <c r="M27" s="433">
        <v>12.066916027741026</v>
      </c>
      <c r="N27" s="433">
        <v>12.14931074437348</v>
      </c>
      <c r="O27" s="433">
        <v>11.894364273354336</v>
      </c>
    </row>
    <row r="28" spans="1:23" ht="25.5">
      <c r="A28" s="410">
        <v>20</v>
      </c>
      <c r="B28" s="419" t="s">
        <v>968</v>
      </c>
      <c r="C28" s="425">
        <v>32.93</v>
      </c>
      <c r="D28" s="425">
        <v>26.9</v>
      </c>
      <c r="E28" s="425">
        <v>24.68</v>
      </c>
      <c r="F28" s="425">
        <v>24.27</v>
      </c>
      <c r="G28" s="425">
        <v>23.45</v>
      </c>
      <c r="H28" s="425">
        <v>21.814900000000002</v>
      </c>
      <c r="I28" s="425">
        <v>20.997200000000003</v>
      </c>
      <c r="J28" s="425">
        <v>20.179500000000004</v>
      </c>
      <c r="K28" s="425">
        <v>19.361800000000002</v>
      </c>
      <c r="L28" s="425">
        <v>18.544100000000004</v>
      </c>
      <c r="M28" s="425">
        <v>18.54</v>
      </c>
      <c r="N28" s="425">
        <v>17.72</v>
      </c>
      <c r="O28" s="425">
        <v>16.899999999999999</v>
      </c>
    </row>
    <row r="29" spans="1:23">
      <c r="A29" s="410">
        <v>21</v>
      </c>
      <c r="B29" s="91" t="s">
        <v>969</v>
      </c>
      <c r="C29" s="425">
        <v>153.30000000000001</v>
      </c>
      <c r="D29" s="425">
        <v>154.71</v>
      </c>
      <c r="E29" s="425">
        <v>163.61000000000001</v>
      </c>
      <c r="F29" s="425">
        <v>150.49</v>
      </c>
      <c r="G29" s="425">
        <v>140.08000000000001</v>
      </c>
      <c r="H29" s="425">
        <v>113.22862294285714</v>
      </c>
      <c r="I29" s="425">
        <v>95.232596145285711</v>
      </c>
      <c r="J29" s="425">
        <v>77.911680409714279</v>
      </c>
      <c r="K29" s="425">
        <v>59.420288850142839</v>
      </c>
      <c r="L29" s="425">
        <v>36.659999999999997</v>
      </c>
      <c r="M29" s="425">
        <v>37.06</v>
      </c>
      <c r="N29" s="425">
        <v>37.880000000000003</v>
      </c>
      <c r="O29" s="425">
        <v>38.700000000000003</v>
      </c>
    </row>
    <row r="30" spans="1:23" ht="25.5">
      <c r="A30" s="410">
        <v>22</v>
      </c>
      <c r="B30" s="419" t="s">
        <v>970</v>
      </c>
      <c r="C30" s="425">
        <v>171.37</v>
      </c>
      <c r="D30" s="425">
        <v>172.83</v>
      </c>
      <c r="E30" s="425">
        <v>174.5</v>
      </c>
      <c r="F30" s="425">
        <v>176.18</v>
      </c>
      <c r="G30" s="425">
        <v>177.34</v>
      </c>
      <c r="H30" s="425">
        <v>229.48</v>
      </c>
      <c r="I30" s="425">
        <v>232.91</v>
      </c>
      <c r="J30" s="425">
        <v>237.03</v>
      </c>
      <c r="K30" s="425">
        <v>240.63</v>
      </c>
      <c r="L30" s="425">
        <v>244.96</v>
      </c>
      <c r="M30" s="425">
        <v>353.64</v>
      </c>
      <c r="N30" s="425">
        <v>360.97</v>
      </c>
      <c r="O30" s="425">
        <v>367.36</v>
      </c>
    </row>
    <row r="31" spans="1:23" ht="25.5">
      <c r="A31" s="410">
        <v>23</v>
      </c>
      <c r="B31" s="419" t="s">
        <v>971</v>
      </c>
      <c r="C31" s="425">
        <v>419.7</v>
      </c>
      <c r="D31" s="425">
        <v>428.66</v>
      </c>
      <c r="E31" s="425">
        <v>449.7</v>
      </c>
      <c r="F31" s="425">
        <v>454.99</v>
      </c>
      <c r="G31" s="425">
        <v>467.76</v>
      </c>
      <c r="H31" s="425">
        <v>468.68</v>
      </c>
      <c r="I31" s="425">
        <v>468.68</v>
      </c>
      <c r="J31" s="425">
        <v>468.68</v>
      </c>
      <c r="K31" s="425">
        <v>468.68</v>
      </c>
      <c r="L31" s="425">
        <v>468.68</v>
      </c>
      <c r="M31" s="425">
        <v>468.68</v>
      </c>
      <c r="N31" s="425">
        <v>468.68</v>
      </c>
      <c r="O31" s="425">
        <v>468.68</v>
      </c>
    </row>
    <row r="32" spans="1:23" ht="25.5">
      <c r="A32" s="410">
        <v>24</v>
      </c>
      <c r="B32" s="419" t="s">
        <v>972</v>
      </c>
      <c r="C32" s="425">
        <v>144.88999999999999</v>
      </c>
      <c r="D32" s="425">
        <v>149.91999999999999</v>
      </c>
      <c r="E32" s="425">
        <v>156</v>
      </c>
      <c r="F32" s="425">
        <v>159.75</v>
      </c>
      <c r="G32" s="425">
        <v>164.51</v>
      </c>
      <c r="H32" s="425">
        <v>267.31</v>
      </c>
      <c r="I32" s="425">
        <v>272.19</v>
      </c>
      <c r="J32" s="425">
        <v>277.93</v>
      </c>
      <c r="K32" s="425">
        <v>284.22000000000003</v>
      </c>
      <c r="L32" s="425">
        <v>291.58999999999997</v>
      </c>
      <c r="M32" s="425">
        <v>284.87</v>
      </c>
      <c r="N32" s="425">
        <v>300.41000000000003</v>
      </c>
      <c r="O32" s="425">
        <v>316.70999999999998</v>
      </c>
    </row>
    <row r="33" spans="1:15" ht="25.5">
      <c r="A33" s="434"/>
      <c r="B33" s="91" t="s">
        <v>973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</row>
    <row r="34" spans="1:15">
      <c r="A34" s="434"/>
      <c r="B34" s="91" t="s">
        <v>974</v>
      </c>
      <c r="C34" s="425">
        <v>21.56</v>
      </c>
      <c r="D34" s="425">
        <v>22.27</v>
      </c>
      <c r="E34" s="425">
        <v>22.12</v>
      </c>
      <c r="F34" s="425">
        <v>21.07</v>
      </c>
      <c r="G34" s="425">
        <v>19.64</v>
      </c>
      <c r="H34" s="425">
        <v>28.78</v>
      </c>
      <c r="I34" s="425">
        <v>24.02</v>
      </c>
      <c r="J34" s="425">
        <v>19.36</v>
      </c>
      <c r="K34" s="425">
        <v>14.98</v>
      </c>
      <c r="L34" s="425">
        <v>10.85</v>
      </c>
      <c r="M34" s="425">
        <v>7.27</v>
      </c>
      <c r="N34" s="425">
        <v>7.43</v>
      </c>
      <c r="O34" s="425">
        <v>7.59</v>
      </c>
    </row>
    <row r="35" spans="1:15">
      <c r="A35" s="434"/>
      <c r="B35" s="91" t="s">
        <v>975</v>
      </c>
      <c r="C35" s="425">
        <v>14</v>
      </c>
      <c r="D35" s="425">
        <v>14</v>
      </c>
      <c r="E35" s="425">
        <v>14</v>
      </c>
      <c r="F35" s="425">
        <v>14</v>
      </c>
      <c r="G35" s="425">
        <v>14</v>
      </c>
      <c r="H35" s="435">
        <v>23.4</v>
      </c>
      <c r="I35" s="435">
        <v>23.4</v>
      </c>
      <c r="J35" s="435">
        <v>23.4</v>
      </c>
      <c r="K35" s="435">
        <v>23.4</v>
      </c>
      <c r="L35" s="435">
        <v>23.4</v>
      </c>
      <c r="M35" s="425">
        <v>19.600000000000001</v>
      </c>
      <c r="N35" s="425">
        <v>19.600000000000001</v>
      </c>
      <c r="O35" s="425">
        <v>19.600000000000001</v>
      </c>
    </row>
    <row r="36" spans="1:15">
      <c r="A36" s="434"/>
      <c r="B36" s="91" t="s">
        <v>976</v>
      </c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</row>
    <row r="37" spans="1:15">
      <c r="A37" s="434"/>
      <c r="B37" s="91" t="s">
        <v>974</v>
      </c>
      <c r="C37" s="425">
        <v>0.97</v>
      </c>
      <c r="D37" s="425">
        <v>0.57999999999999996</v>
      </c>
      <c r="E37" s="425">
        <v>0.48</v>
      </c>
      <c r="F37" s="425">
        <v>0.47</v>
      </c>
      <c r="G37" s="425">
        <v>0.45</v>
      </c>
      <c r="H37" s="425">
        <v>0.43</v>
      </c>
      <c r="I37" s="425">
        <v>0.42</v>
      </c>
      <c r="J37" s="425">
        <v>0.4</v>
      </c>
      <c r="K37" s="425">
        <v>0.39</v>
      </c>
      <c r="L37" s="425">
        <v>0.37</v>
      </c>
      <c r="M37" s="425">
        <v>0.35</v>
      </c>
      <c r="N37" s="425">
        <v>0.34</v>
      </c>
      <c r="O37" s="425">
        <v>0.32</v>
      </c>
    </row>
    <row r="38" spans="1:15" ht="25.5">
      <c r="A38" s="434"/>
      <c r="B38" s="419" t="s">
        <v>977</v>
      </c>
      <c r="C38" s="425">
        <v>3.24</v>
      </c>
      <c r="D38" s="425">
        <v>2.27</v>
      </c>
      <c r="E38" s="425">
        <v>1.95</v>
      </c>
      <c r="F38" s="425">
        <v>1.95</v>
      </c>
      <c r="G38" s="425">
        <v>1.95</v>
      </c>
      <c r="H38" s="425">
        <v>1.95</v>
      </c>
      <c r="I38" s="425">
        <v>1.95</v>
      </c>
      <c r="J38" s="425">
        <v>1.95</v>
      </c>
      <c r="K38" s="425">
        <v>1.95</v>
      </c>
      <c r="L38" s="425">
        <v>1.95</v>
      </c>
      <c r="M38" s="425">
        <v>1.95</v>
      </c>
      <c r="N38" s="425">
        <v>1.95</v>
      </c>
      <c r="O38" s="425">
        <v>1.95</v>
      </c>
    </row>
    <row r="39" spans="1:15" ht="25.5">
      <c r="A39" s="434"/>
      <c r="B39" s="419" t="s">
        <v>978</v>
      </c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</row>
    <row r="40" spans="1:15">
      <c r="A40" s="434"/>
      <c r="B40" s="91" t="s">
        <v>974</v>
      </c>
      <c r="C40" s="425">
        <v>13.59</v>
      </c>
      <c r="D40" s="425">
        <v>14.49</v>
      </c>
      <c r="E40" s="425">
        <v>16.87</v>
      </c>
      <c r="F40" s="425">
        <v>17.559999999999999</v>
      </c>
      <c r="G40" s="425">
        <v>19.59</v>
      </c>
      <c r="H40" s="425">
        <v>19.91</v>
      </c>
      <c r="I40" s="425">
        <v>19.91</v>
      </c>
      <c r="J40" s="425">
        <v>19.91</v>
      </c>
      <c r="K40" s="425">
        <v>19.91</v>
      </c>
      <c r="L40" s="425">
        <v>19.91</v>
      </c>
      <c r="M40" s="436">
        <v>0</v>
      </c>
      <c r="N40" s="436">
        <v>0</v>
      </c>
      <c r="O40" s="436">
        <v>0</v>
      </c>
    </row>
    <row r="41" spans="1:15">
      <c r="A41" s="434"/>
      <c r="B41" s="91" t="s">
        <v>975</v>
      </c>
      <c r="C41" s="425">
        <v>5.12</v>
      </c>
      <c r="D41" s="425">
        <v>5.12</v>
      </c>
      <c r="E41" s="425">
        <v>5.12</v>
      </c>
      <c r="F41" s="425">
        <v>5.12</v>
      </c>
      <c r="G41" s="425">
        <v>5.12</v>
      </c>
      <c r="H41" s="435"/>
      <c r="I41" s="435"/>
      <c r="J41" s="435"/>
      <c r="K41" s="435"/>
      <c r="L41" s="435"/>
      <c r="M41" s="435"/>
      <c r="N41" s="435"/>
      <c r="O41" s="435"/>
    </row>
    <row r="42" spans="1:15">
      <c r="A42" s="434"/>
      <c r="B42" s="91" t="s">
        <v>979</v>
      </c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</row>
    <row r="43" spans="1:15">
      <c r="A43" s="434"/>
      <c r="B43" s="91" t="s">
        <v>974</v>
      </c>
      <c r="C43" s="425">
        <v>17.57</v>
      </c>
      <c r="D43" s="425">
        <v>17.72</v>
      </c>
      <c r="E43" s="425">
        <v>17.89</v>
      </c>
      <c r="F43" s="425">
        <v>18.059999999999999</v>
      </c>
      <c r="G43" s="425">
        <v>18.18</v>
      </c>
      <c r="H43" s="425">
        <v>28.11</v>
      </c>
      <c r="I43" s="425">
        <v>28.53</v>
      </c>
      <c r="J43" s="425">
        <v>29.04</v>
      </c>
      <c r="K43" s="425">
        <v>29.48</v>
      </c>
      <c r="L43" s="425">
        <v>30.01</v>
      </c>
      <c r="M43" s="425">
        <v>47.74</v>
      </c>
      <c r="N43" s="425">
        <v>48.73</v>
      </c>
      <c r="O43" s="425">
        <v>49.59</v>
      </c>
    </row>
    <row r="44" spans="1:15">
      <c r="A44" s="434"/>
      <c r="B44" s="91" t="s">
        <v>975</v>
      </c>
      <c r="C44" s="425">
        <v>10.25</v>
      </c>
      <c r="D44" s="425">
        <v>10.25</v>
      </c>
      <c r="E44" s="425">
        <v>10.25</v>
      </c>
      <c r="F44" s="425">
        <v>10.25</v>
      </c>
      <c r="G44" s="425">
        <v>10.25</v>
      </c>
      <c r="H44" s="425">
        <v>12.25</v>
      </c>
      <c r="I44" s="425">
        <v>12.25</v>
      </c>
      <c r="J44" s="425">
        <v>12.25</v>
      </c>
      <c r="K44" s="425">
        <v>12.25</v>
      </c>
      <c r="L44" s="425">
        <v>12.25</v>
      </c>
      <c r="M44" s="425">
        <v>13.5</v>
      </c>
      <c r="N44" s="425">
        <v>13.5</v>
      </c>
      <c r="O44" s="425">
        <v>13.5</v>
      </c>
    </row>
    <row r="45" spans="1:15" ht="25.5">
      <c r="A45" s="434"/>
      <c r="B45" s="91" t="s">
        <v>980</v>
      </c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</row>
    <row r="46" spans="1:15">
      <c r="A46" s="434"/>
      <c r="B46" s="91" t="s">
        <v>974</v>
      </c>
      <c r="C46" s="425">
        <v>91.2</v>
      </c>
      <c r="D46" s="425">
        <v>94.86</v>
      </c>
      <c r="E46" s="425">
        <v>98.64</v>
      </c>
      <c r="F46" s="425">
        <v>102.6</v>
      </c>
      <c r="G46" s="425">
        <v>106.68</v>
      </c>
      <c r="H46" s="425">
        <v>162</v>
      </c>
      <c r="I46" s="425">
        <v>171.24</v>
      </c>
      <c r="J46" s="425">
        <v>181.08</v>
      </c>
      <c r="K46" s="425">
        <v>191.4</v>
      </c>
      <c r="L46" s="425">
        <v>202.38</v>
      </c>
      <c r="M46" s="425">
        <v>229.51</v>
      </c>
      <c r="N46" s="425">
        <v>243.91</v>
      </c>
      <c r="O46" s="425">
        <v>259.20999999999998</v>
      </c>
    </row>
    <row r="47" spans="1:15">
      <c r="A47" s="434"/>
      <c r="B47" s="91" t="s">
        <v>975</v>
      </c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</row>
    <row r="48" spans="1:15">
      <c r="A48" s="434"/>
      <c r="B48" s="91" t="s">
        <v>981</v>
      </c>
      <c r="C48" s="436">
        <v>0</v>
      </c>
      <c r="D48" s="436">
        <v>0</v>
      </c>
      <c r="E48" s="436">
        <v>0</v>
      </c>
      <c r="F48" s="436">
        <v>0</v>
      </c>
      <c r="G48" s="436">
        <v>0</v>
      </c>
      <c r="H48" s="425">
        <v>3.9</v>
      </c>
      <c r="I48" s="425">
        <v>3.9</v>
      </c>
      <c r="J48" s="425">
        <v>3.9</v>
      </c>
      <c r="K48" s="425">
        <v>3.9</v>
      </c>
      <c r="L48" s="425">
        <v>3.9</v>
      </c>
      <c r="M48" s="436">
        <v>0</v>
      </c>
      <c r="N48" s="436">
        <v>0</v>
      </c>
      <c r="O48" s="436">
        <v>0</v>
      </c>
    </row>
    <row r="49" spans="1:18">
      <c r="A49" s="410">
        <v>25</v>
      </c>
      <c r="B49" s="419" t="s">
        <v>982</v>
      </c>
      <c r="C49" s="425">
        <v>0.435</v>
      </c>
      <c r="D49" s="425">
        <v>0.45</v>
      </c>
      <c r="E49" s="425">
        <v>0.46800000000000003</v>
      </c>
      <c r="F49" s="425">
        <v>0.47799999999999998</v>
      </c>
      <c r="G49" s="425">
        <v>0.49399999999999999</v>
      </c>
      <c r="H49" s="425">
        <v>0.80300000000000005</v>
      </c>
      <c r="I49" s="425">
        <v>0.81699999999999995</v>
      </c>
      <c r="J49" s="425">
        <v>0.83199999999999996</v>
      </c>
      <c r="K49" s="425">
        <v>0.85299999999999998</v>
      </c>
      <c r="L49" s="425">
        <v>0.876</v>
      </c>
      <c r="M49" s="425">
        <v>0.85499999999999998</v>
      </c>
      <c r="N49" s="425">
        <v>0.9</v>
      </c>
      <c r="O49" s="425">
        <v>0.95099999999999996</v>
      </c>
    </row>
    <row r="50" spans="1:18">
      <c r="A50" s="410">
        <v>26</v>
      </c>
      <c r="B50" s="91" t="s">
        <v>983</v>
      </c>
      <c r="C50" s="425">
        <v>1.425</v>
      </c>
      <c r="D50" s="425">
        <v>1.1200000000000001</v>
      </c>
      <c r="E50" s="425">
        <v>1.302</v>
      </c>
      <c r="F50" s="425">
        <v>1.2384999999999999</v>
      </c>
      <c r="G50" s="425">
        <v>1.5042</v>
      </c>
      <c r="H50" s="425">
        <v>1.8479000000000001</v>
      </c>
      <c r="I50" s="425">
        <v>1.9629000000000001</v>
      </c>
      <c r="J50" s="425">
        <v>2.238</v>
      </c>
      <c r="K50" s="425">
        <v>2.4269999999999996</v>
      </c>
      <c r="L50" s="425">
        <v>2.6339999999999999</v>
      </c>
      <c r="M50" s="425">
        <v>3.3149999999999999</v>
      </c>
      <c r="N50" s="425">
        <v>4.08</v>
      </c>
      <c r="O50" s="425">
        <v>4.8970000000000002</v>
      </c>
    </row>
    <row r="51" spans="1:18">
      <c r="A51" s="410">
        <v>27</v>
      </c>
      <c r="B51" s="91" t="s">
        <v>984</v>
      </c>
      <c r="C51" s="425">
        <f>C49+C50</f>
        <v>1.86</v>
      </c>
      <c r="D51" s="425">
        <f t="shared" ref="D51:O51" si="1">D49+D50</f>
        <v>1.57</v>
      </c>
      <c r="E51" s="425">
        <f t="shared" si="1"/>
        <v>1.77</v>
      </c>
      <c r="F51" s="425">
        <f t="shared" si="1"/>
        <v>1.7164999999999999</v>
      </c>
      <c r="G51" s="425">
        <f t="shared" si="1"/>
        <v>1.9982</v>
      </c>
      <c r="H51" s="425">
        <f t="shared" si="1"/>
        <v>2.6509</v>
      </c>
      <c r="I51" s="425">
        <f t="shared" si="1"/>
        <v>2.7799</v>
      </c>
      <c r="J51" s="425">
        <f t="shared" si="1"/>
        <v>3.07</v>
      </c>
      <c r="K51" s="425">
        <f t="shared" si="1"/>
        <v>3.2799999999999994</v>
      </c>
      <c r="L51" s="425">
        <f t="shared" si="1"/>
        <v>3.51</v>
      </c>
      <c r="M51" s="425">
        <f t="shared" si="1"/>
        <v>4.17</v>
      </c>
      <c r="N51" s="425">
        <f t="shared" si="1"/>
        <v>4.9800000000000004</v>
      </c>
      <c r="O51" s="425">
        <f t="shared" si="1"/>
        <v>5.8479999999999999</v>
      </c>
    </row>
    <row r="52" spans="1:18" ht="25.5">
      <c r="A52" s="410">
        <v>28</v>
      </c>
      <c r="B52" s="419" t="s">
        <v>985</v>
      </c>
      <c r="C52" s="425">
        <v>644.52440000000001</v>
      </c>
      <c r="D52" s="425">
        <v>360.2056</v>
      </c>
      <c r="E52" s="425">
        <v>615.92869999999994</v>
      </c>
      <c r="F52" s="425">
        <v>44.089112445454546</v>
      </c>
      <c r="G52" s="425">
        <v>738.07390069999997</v>
      </c>
      <c r="H52" s="425">
        <v>897.36345589999996</v>
      </c>
      <c r="I52" s="425">
        <v>793.09712499999989</v>
      </c>
      <c r="J52" s="425">
        <v>968.72553379999988</v>
      </c>
      <c r="K52" s="425">
        <v>1099.036800588</v>
      </c>
      <c r="L52" s="425">
        <v>1241.8521558</v>
      </c>
      <c r="M52" s="425">
        <v>1553.8729968</v>
      </c>
      <c r="N52" s="425">
        <v>1230.5829357</v>
      </c>
      <c r="O52" s="425">
        <v>1921.7084624629999</v>
      </c>
    </row>
    <row r="53" spans="1:18" ht="25.5">
      <c r="A53" s="410">
        <v>29</v>
      </c>
      <c r="B53" s="419" t="s">
        <v>986</v>
      </c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R53" s="437"/>
    </row>
    <row r="54" spans="1:18">
      <c r="A54" s="410">
        <v>30</v>
      </c>
      <c r="B54" s="91" t="s">
        <v>987</v>
      </c>
      <c r="C54" s="425">
        <v>27.4</v>
      </c>
      <c r="D54" s="425">
        <v>-170.713924319</v>
      </c>
      <c r="E54" s="425">
        <v>303.08344039499997</v>
      </c>
      <c r="F54" s="425">
        <v>-46.315186441999998</v>
      </c>
      <c r="G54" s="425">
        <v>-58.889223880999992</v>
      </c>
      <c r="H54" s="425">
        <v>23.254206464999999</v>
      </c>
      <c r="I54" s="425">
        <v>33.034150400999998</v>
      </c>
      <c r="J54" s="425">
        <v>82.842706821000007</v>
      </c>
      <c r="K54" s="425">
        <v>83.419235485000002</v>
      </c>
      <c r="L54" s="425">
        <v>140.744260228</v>
      </c>
      <c r="M54" s="425">
        <v>-4.0836677299999993</v>
      </c>
      <c r="N54" s="425">
        <v>-38.017570927999998</v>
      </c>
      <c r="O54" s="425">
        <v>191.88602360799999</v>
      </c>
      <c r="R54" s="437"/>
    </row>
    <row r="55" spans="1:18">
      <c r="A55" s="410">
        <v>31</v>
      </c>
      <c r="B55" s="91" t="s">
        <v>988</v>
      </c>
      <c r="C55" s="641" t="s">
        <v>5</v>
      </c>
      <c r="D55" s="641"/>
      <c r="E55" s="641"/>
      <c r="F55" s="438">
        <v>4.447381</v>
      </c>
      <c r="G55" s="439">
        <v>25.152145999999998</v>
      </c>
      <c r="H55" s="439">
        <v>31.948705</v>
      </c>
      <c r="I55" s="439">
        <v>23.346916</v>
      </c>
      <c r="J55" s="439">
        <v>27.218229999999998</v>
      </c>
      <c r="K55" s="439">
        <v>28.169592999999999</v>
      </c>
      <c r="L55" s="439">
        <v>6.7323029999999999</v>
      </c>
      <c r="M55" s="439">
        <v>25.618262999999999</v>
      </c>
      <c r="N55" s="439">
        <v>-15.028454</v>
      </c>
      <c r="O55" s="439">
        <v>-36.545285</v>
      </c>
    </row>
    <row r="56" spans="1:18">
      <c r="A56" s="410">
        <v>32</v>
      </c>
      <c r="B56" s="91" t="s">
        <v>989</v>
      </c>
      <c r="C56" s="630" t="s">
        <v>5</v>
      </c>
      <c r="D56" s="630"/>
      <c r="E56" s="630"/>
      <c r="F56" s="440">
        <v>392.22239000000002</v>
      </c>
      <c r="G56" s="441">
        <v>84</v>
      </c>
      <c r="H56" s="441">
        <v>381</v>
      </c>
      <c r="I56" s="441">
        <v>376</v>
      </c>
      <c r="J56" s="441">
        <v>364</v>
      </c>
      <c r="K56" s="441">
        <v>295</v>
      </c>
      <c r="L56" s="441">
        <v>410</v>
      </c>
      <c r="M56" s="441">
        <v>373</v>
      </c>
      <c r="N56" s="441">
        <v>109</v>
      </c>
      <c r="O56" s="441">
        <v>170</v>
      </c>
      <c r="R56" s="437"/>
    </row>
    <row r="57" spans="1:18">
      <c r="A57" s="410">
        <v>33</v>
      </c>
      <c r="B57" s="91" t="s">
        <v>990</v>
      </c>
      <c r="C57" s="630" t="s">
        <v>5</v>
      </c>
      <c r="D57" s="630"/>
      <c r="E57" s="630"/>
      <c r="F57" s="442">
        <v>1.7443689</v>
      </c>
      <c r="G57" s="414">
        <v>2.1037868</v>
      </c>
      <c r="H57" s="414">
        <v>12.188053399999999</v>
      </c>
      <c r="I57" s="414">
        <v>8.7742375999999993</v>
      </c>
      <c r="J57" s="414">
        <v>9.9135503000000007</v>
      </c>
      <c r="K57" s="414">
        <v>8.3184982000000005</v>
      </c>
      <c r="L57" s="414">
        <v>2.7622977</v>
      </c>
      <c r="M57" s="414">
        <v>9.5597224999999995</v>
      </c>
      <c r="N57" s="414">
        <v>-1.6394062</v>
      </c>
      <c r="O57" s="414">
        <v>-6.1998825999999996</v>
      </c>
    </row>
    <row r="58" spans="1:18">
      <c r="A58" s="443" t="s">
        <v>991</v>
      </c>
      <c r="B58" s="631" t="s">
        <v>992</v>
      </c>
      <c r="C58" s="631"/>
      <c r="D58" s="631"/>
      <c r="E58" s="631"/>
      <c r="F58" s="631"/>
      <c r="G58" s="631"/>
      <c r="H58" s="631"/>
      <c r="I58" s="631"/>
      <c r="J58" s="631"/>
      <c r="K58" s="631"/>
      <c r="L58" s="631"/>
      <c r="M58" s="631"/>
      <c r="N58" s="631"/>
      <c r="O58" s="631"/>
    </row>
    <row r="59" spans="1:18">
      <c r="A59" s="444"/>
      <c r="B59" s="631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437"/>
      <c r="O59" s="437"/>
    </row>
    <row r="60" spans="1:18">
      <c r="A60" s="444"/>
      <c r="B60" s="445"/>
      <c r="C60" s="445"/>
      <c r="D60" s="445"/>
      <c r="E60" s="445"/>
      <c r="F60" s="445"/>
      <c r="G60" s="437"/>
      <c r="H60" s="437"/>
      <c r="I60" s="437"/>
      <c r="J60" s="437"/>
      <c r="K60" s="437"/>
      <c r="L60" s="437"/>
      <c r="M60" s="437"/>
      <c r="N60" s="437"/>
      <c r="O60" s="437"/>
    </row>
    <row r="61" spans="1:18">
      <c r="A61" s="444"/>
      <c r="B61" s="445"/>
      <c r="C61" s="445"/>
      <c r="D61" s="445"/>
      <c r="E61" s="445"/>
      <c r="F61" s="445"/>
      <c r="G61" s="437"/>
      <c r="H61" s="437"/>
      <c r="I61" s="437"/>
      <c r="J61" s="437"/>
      <c r="K61" s="437"/>
      <c r="L61" s="437"/>
      <c r="M61" s="437"/>
      <c r="N61" s="437"/>
      <c r="O61" s="437"/>
    </row>
    <row r="62" spans="1:18">
      <c r="A62" s="398" t="s">
        <v>993</v>
      </c>
    </row>
    <row r="63" spans="1:18">
      <c r="A63" s="398" t="s">
        <v>994</v>
      </c>
    </row>
    <row r="64" spans="1:18">
      <c r="A64" s="398" t="s">
        <v>995</v>
      </c>
    </row>
    <row r="65" spans="1:1">
      <c r="A65" s="398" t="s">
        <v>996</v>
      </c>
    </row>
  </sheetData>
  <mergeCells count="9">
    <mergeCell ref="C57:E57"/>
    <mergeCell ref="B58:O58"/>
    <mergeCell ref="B59:M59"/>
    <mergeCell ref="A7:O7"/>
    <mergeCell ref="C9:E9"/>
    <mergeCell ref="C11:E11"/>
    <mergeCell ref="C12:E12"/>
    <mergeCell ref="C55:E55"/>
    <mergeCell ref="C56:E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ANNEXURE I Sh 1&amp;2</vt:lpstr>
      <vt:lpstr>ANNEXURE I Sh 3</vt:lpstr>
      <vt:lpstr>ANNEXURE I Sh 4</vt:lpstr>
      <vt:lpstr>ANNEXURE IV</vt:lpstr>
      <vt:lpstr>ANNEXURE V C</vt:lpstr>
      <vt:lpstr>ANNEXURE VC 2009-10</vt:lpstr>
      <vt:lpstr>ANNEXURE VC 2010-11</vt:lpstr>
      <vt:lpstr>ANNEXURE VC 2011-12</vt:lpstr>
      <vt:lpstr>ANNEXURE VC 2012-13</vt:lpstr>
      <vt:lpstr>ANNEXURE VC 2013-14</vt:lpstr>
      <vt:lpstr>ANNEXURE VIA</vt:lpstr>
      <vt:lpstr>STAFF WELFARE EXPENSES</vt:lpstr>
      <vt:lpstr>ANNEXURE VI C</vt:lpstr>
      <vt:lpstr>ANNEXURE VI D</vt:lpstr>
      <vt:lpstr>ANNEXURE VI D DETAILS 12-13</vt:lpstr>
      <vt:lpstr>ANNEXURE VI D DETAILS 13-14</vt:lpstr>
      <vt:lpstr>ANNEXURE VI D DETAILS 14-15</vt:lpstr>
      <vt:lpstr>ANNEXURE VI D DETAILS 15-16</vt:lpstr>
      <vt:lpstr>ANNEXURE VI D DETAILS 16-17</vt:lpstr>
      <vt:lpstr>ANNEXURE VIII</vt:lpstr>
      <vt:lpstr>ANNEXURE VIII ALLOCATION</vt:lpstr>
      <vt:lpstr>ANNEXURE XIX</vt:lpstr>
      <vt:lpstr>'ANNEXURE I Sh 1&amp;2'!Print_Area</vt:lpstr>
      <vt:lpstr>'ANNEXURE I Sh 3'!Print_Area</vt:lpstr>
      <vt:lpstr>'ANNEXURE I Sh 4'!Print_Area</vt:lpstr>
      <vt:lpstr>'ANNEXURE VC 2009-10'!Print_Area</vt:lpstr>
      <vt:lpstr>'ANNEXURE VC 2011-12'!Print_Area</vt:lpstr>
      <vt:lpstr>'ANNEXURE VC 2012-13'!Print_Area</vt:lpstr>
      <vt:lpstr>'ANNEXURE I Sh 3'!Print_Titles</vt:lpstr>
      <vt:lpstr>'ANNEXURE I Sh 4'!Print_Titles</vt:lpstr>
      <vt:lpstr>'ANNEXURE VC 2009-10'!Print_Titles</vt:lpstr>
      <vt:lpstr>'ANNEXURE VC 2010-11'!Print_Titles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HP</cp:lastModifiedBy>
  <cp:lastPrinted>2017-12-28T07:33:34Z</cp:lastPrinted>
  <dcterms:created xsi:type="dcterms:W3CDTF">2017-11-14T14:50:00Z</dcterms:created>
  <dcterms:modified xsi:type="dcterms:W3CDTF">2018-10-01T07:53:40Z</dcterms:modified>
</cp:coreProperties>
</file>